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בניית אתרים\חומר לאתר\מופ חקלאי\מצגות מיום עיון גפן 2014\"/>
    </mc:Choice>
  </mc:AlternateContent>
  <bookViews>
    <workbookView xWindow="0" yWindow="0" windowWidth="14370" windowHeight="7560" activeTab="1"/>
  </bookViews>
  <sheets>
    <sheet name="שפר" sheetId="4" r:id="rId1"/>
    <sheet name="כדאיות התפלה בכרם" sheetId="5" r:id="rId2"/>
    <sheet name="גיליון2" sheetId="2" r:id="rId3"/>
    <sheet name="גיליון3" sheetId="3" r:id="rId4"/>
  </sheets>
  <externalReferences>
    <externalReference r:id="rId5"/>
  </externalReferences>
  <definedNames>
    <definedName name="_xlnm.Print_Area" localSheetId="1">'כדאיות התפלה בכרם'!$A$1:$H$44</definedName>
    <definedName name="יתרה_לדונם">'[1]כדאיות התפלה בכרם'!$H$17:$O$23</definedName>
    <definedName name="מחיר_מים">'[1]כדאיות התפלה בכרם'!$B$15:$F$25</definedName>
    <definedName name="מליחות">'[1]כדאיות התפלה בכרם'!$G$6:$I$11</definedName>
    <definedName name="מליחות_המים">'[1]כרם תיקון'!$F$26:$H$31</definedName>
  </definedNames>
  <calcPr calcId="152511"/>
</workbook>
</file>

<file path=xl/calcChain.xml><?xml version="1.0" encoding="utf-8"?>
<calcChain xmlns="http://schemas.openxmlformats.org/spreadsheetml/2006/main">
  <c r="F16" i="5" l="1"/>
  <c r="F17" i="5" l="1"/>
  <c r="D7" i="5"/>
  <c r="D8" i="5"/>
  <c r="D9" i="5"/>
  <c r="D6" i="5"/>
  <c r="D87" i="5"/>
  <c r="D88" i="5" s="1"/>
  <c r="C87" i="5"/>
  <c r="C88" i="5" s="1"/>
  <c r="B87" i="5"/>
  <c r="B88" i="5" s="1"/>
  <c r="E86" i="5"/>
  <c r="C42" i="5"/>
  <c r="D42" i="5" s="1"/>
  <c r="F31" i="5"/>
  <c r="F30" i="5"/>
  <c r="F29" i="5"/>
  <c r="D39" i="5"/>
  <c r="D40" i="5" s="1"/>
  <c r="C39" i="5"/>
  <c r="C40" i="5" s="1"/>
  <c r="B39" i="5"/>
  <c r="B40" i="5" s="1"/>
  <c r="F28" i="5"/>
  <c r="E39" i="5" s="1"/>
  <c r="E40" i="5" s="1"/>
  <c r="E38" i="5"/>
  <c r="B25" i="5"/>
  <c r="C35" i="5"/>
  <c r="C36" i="5" s="1"/>
  <c r="C37" i="5" s="1"/>
  <c r="C38" i="5" s="1"/>
  <c r="B24" i="5"/>
  <c r="B21" i="5"/>
  <c r="D83" i="5" s="1"/>
  <c r="D84" i="5" s="1"/>
  <c r="D85" i="5" s="1"/>
  <c r="D86" i="5" s="1"/>
  <c r="F19" i="5"/>
  <c r="C23" i="4"/>
  <c r="C24" i="4" s="1"/>
  <c r="O18" i="4"/>
  <c r="M19" i="4" s="1"/>
  <c r="M18" i="4"/>
  <c r="O17" i="4"/>
  <c r="H17" i="4"/>
  <c r="I17" i="4" s="1"/>
  <c r="G17" i="4"/>
  <c r="O16" i="4"/>
  <c r="H16" i="4"/>
  <c r="I16" i="4" s="1"/>
  <c r="O15" i="4"/>
  <c r="H15" i="4"/>
  <c r="G15" i="4"/>
  <c r="H12" i="4"/>
  <c r="G11" i="4"/>
  <c r="I11" i="4" s="1"/>
  <c r="G10" i="4"/>
  <c r="I10" i="4" s="1"/>
  <c r="F9" i="4"/>
  <c r="G9" i="4" s="1"/>
  <c r="I9" i="4" s="1"/>
  <c r="D9" i="4"/>
  <c r="I15" i="4" l="1"/>
  <c r="I18" i="4" s="1"/>
  <c r="B10" i="5"/>
  <c r="D10" i="5" s="1"/>
  <c r="D11" i="5" s="1"/>
  <c r="F18" i="5"/>
  <c r="B31" i="5"/>
  <c r="C31" i="5" s="1"/>
  <c r="D35" i="5"/>
  <c r="D36" i="5" s="1"/>
  <c r="D37" i="5" s="1"/>
  <c r="D38" i="5" s="1"/>
  <c r="B83" i="5"/>
  <c r="B84" i="5" s="1"/>
  <c r="B85" i="5" s="1"/>
  <c r="B86" i="5" s="1"/>
  <c r="E87" i="5"/>
  <c r="E88" i="5" s="1"/>
  <c r="H28" i="5"/>
  <c r="C83" i="5"/>
  <c r="C84" i="5" s="1"/>
  <c r="C85" i="5" s="1"/>
  <c r="C86" i="5" s="1"/>
  <c r="B35" i="5"/>
  <c r="B36" i="5" s="1"/>
  <c r="B37" i="5" s="1"/>
  <c r="B38" i="5" s="1"/>
  <c r="F12" i="4"/>
  <c r="G12" i="4" s="1"/>
  <c r="I12" i="4" s="1"/>
  <c r="I13" i="4" s="1"/>
  <c r="B11" i="5" l="1"/>
  <c r="C26" i="4"/>
  <c r="C27" i="4" s="1"/>
  <c r="I19" i="4"/>
  <c r="I20" i="4" s="1"/>
  <c r="B28" i="5" l="1"/>
  <c r="C28" i="5" l="1"/>
  <c r="D28" i="5"/>
  <c r="B29" i="5"/>
  <c r="B30" i="5"/>
  <c r="E28" i="5" l="1"/>
  <c r="C30" i="5"/>
  <c r="C29" i="5"/>
  <c r="G31" i="5" l="1"/>
  <c r="H31" i="5" s="1"/>
  <c r="D31" i="5" s="1"/>
  <c r="E31" i="5" s="1"/>
  <c r="G29" i="5"/>
  <c r="H29" i="5" s="1"/>
  <c r="D29" i="5" s="1"/>
  <c r="E29" i="5" s="1"/>
  <c r="G30" i="5"/>
  <c r="H30" i="5" s="1"/>
  <c r="D30" i="5" s="1"/>
  <c r="E30" i="5" s="1"/>
  <c r="E89" i="5"/>
  <c r="E90" i="5" s="1"/>
  <c r="E41" i="5"/>
  <c r="E43" i="5" s="1"/>
  <c r="E44" i="5" s="1"/>
  <c r="C89" i="5" l="1"/>
  <c r="C90" i="5" s="1"/>
  <c r="C41" i="5"/>
  <c r="C43" i="5" s="1"/>
  <c r="C44" i="5" s="1"/>
  <c r="D89" i="5"/>
  <c r="D90" i="5" s="1"/>
  <c r="D41" i="5"/>
  <c r="D43" i="5" s="1"/>
  <c r="D44" i="5" s="1"/>
  <c r="B89" i="5"/>
  <c r="B90" i="5" s="1"/>
  <c r="B41" i="5"/>
  <c r="B43" i="5" s="1"/>
  <c r="B44" i="5" s="1"/>
  <c r="B59" i="5" l="1"/>
  <c r="B49" i="5"/>
  <c r="B68" i="5"/>
  <c r="B104" i="5"/>
  <c r="B94" i="5"/>
</calcChain>
</file>

<file path=xl/comments1.xml><?xml version="1.0" encoding="utf-8"?>
<comments xmlns="http://schemas.openxmlformats.org/spreadsheetml/2006/main">
  <authors>
    <author>Bracha</author>
  </authors>
  <commentList>
    <comment ref="A35" authorId="0" shapeId="0">
      <text>
        <r>
          <rPr>
            <b/>
            <sz val="9"/>
            <color indexed="81"/>
            <rFont val="Tahoma"/>
            <family val="2"/>
          </rPr>
          <t>Bracha:</t>
        </r>
        <r>
          <rPr>
            <sz val="9"/>
            <color indexed="81"/>
            <rFont val="Tahoma"/>
            <family val="2"/>
          </rPr>
          <t xml:space="preserve">
כמות המים שצריך להתפיל כדי שבמיהול עם שאר המים התוצאה הסופית תהיה המליחות הנדרשת. יש שימוש בכל הכמות (40,000) </t>
        </r>
      </text>
    </comment>
    <comment ref="A83" authorId="0" shapeId="0">
      <text>
        <r>
          <rPr>
            <b/>
            <sz val="9"/>
            <color indexed="81"/>
            <rFont val="Tahoma"/>
            <family val="2"/>
          </rPr>
          <t>Bracha:</t>
        </r>
        <r>
          <rPr>
            <sz val="9"/>
            <color indexed="81"/>
            <rFont val="Tahoma"/>
            <family val="2"/>
          </rPr>
          <t xml:space="preserve">
כמות המים שצריך להתפיל כדי שבמיהול עם שאר המים התוצאה הסופית תהיה המליחות הנדרשת. יש שימוש בכל הכמות (40,000) </t>
        </r>
      </text>
    </comment>
  </commentList>
</comments>
</file>

<file path=xl/sharedStrings.xml><?xml version="1.0" encoding="utf-8"?>
<sst xmlns="http://schemas.openxmlformats.org/spreadsheetml/2006/main" count="153" uniqueCount="112">
  <si>
    <t xml:space="preserve">עלות התפלה </t>
  </si>
  <si>
    <t>למי הרכז יש שימוש במזרון הלח (הם מקצרים את חייו בכשנתיים)</t>
  </si>
  <si>
    <t>ריבית להחזר הון</t>
  </si>
  <si>
    <t>מחיר מי מקורות</t>
  </si>
  <si>
    <t>בועז שפר</t>
  </si>
  <si>
    <t>054-4872202</t>
  </si>
  <si>
    <t>כמות מים ליום - מ"ק</t>
  </si>
  <si>
    <t>חודשי הפעלה (קיץ)</t>
  </si>
  <si>
    <t>עם אשר אייזנקוט</t>
  </si>
  <si>
    <t>עלות שוטפת</t>
  </si>
  <si>
    <t>מי מקורות</t>
  </si>
  <si>
    <t>כמות</t>
  </si>
  <si>
    <t>מחיר</t>
  </si>
  <si>
    <t>עלות</t>
  </si>
  <si>
    <t>לכמות קובים</t>
  </si>
  <si>
    <t>עלות לקוב</t>
  </si>
  <si>
    <t>לכל מ"ק מותפלים משתמשים בכ-1.5 מ"ק מים</t>
  </si>
  <si>
    <t>לקוב מים מותפלים</t>
  </si>
  <si>
    <t>אנטיסקלנט</t>
  </si>
  <si>
    <t>ליטר</t>
  </si>
  <si>
    <t>לקוב מי כניסה</t>
  </si>
  <si>
    <t>מסנן מקרוני</t>
  </si>
  <si>
    <t>לחודשיים</t>
  </si>
  <si>
    <t>חשמל</t>
  </si>
  <si>
    <t>קילווט ליממה</t>
  </si>
  <si>
    <t>ליממה</t>
  </si>
  <si>
    <t>תעריף תעוז קיץ</t>
  </si>
  <si>
    <t>סה"כ עלות שוטפת</t>
  </si>
  <si>
    <t>עלות שנתית</t>
  </si>
  <si>
    <t>תעריף תעוז</t>
  </si>
  <si>
    <t>שעות</t>
  </si>
  <si>
    <t>סה"כ</t>
  </si>
  <si>
    <t>ממברנה</t>
  </si>
  <si>
    <t>יחידה</t>
  </si>
  <si>
    <t>לחמש שנים</t>
  </si>
  <si>
    <t>פסגה</t>
  </si>
  <si>
    <t>חול קוורץ</t>
  </si>
  <si>
    <t>לשנתיים</t>
  </si>
  <si>
    <t>גבע</t>
  </si>
  <si>
    <t>פחם פעיל</t>
  </si>
  <si>
    <t>שפל</t>
  </si>
  <si>
    <t>סה"כ עלות שנתית</t>
  </si>
  <si>
    <t>עלות ליממה</t>
  </si>
  <si>
    <t>סה,כ עלות שוטפת ושנתית</t>
  </si>
  <si>
    <t>לשעה</t>
  </si>
  <si>
    <t>עלות מתקן - ₪</t>
  </si>
  <si>
    <t>קיים</t>
  </si>
  <si>
    <t>החזר הון שנתי</t>
  </si>
  <si>
    <t>סה"כ עלויות לקוב מים מותפלים</t>
  </si>
  <si>
    <t>החזר הון</t>
  </si>
  <si>
    <t>מתקן התפלה</t>
  </si>
  <si>
    <t>מתקן סינון מקדים</t>
  </si>
  <si>
    <t>מתקן לאיגום מים</t>
  </si>
  <si>
    <t>משאבה</t>
  </si>
  <si>
    <t>שונות 10%</t>
  </si>
  <si>
    <t>סה"כ החזר הון לשנה</t>
  </si>
  <si>
    <t>כדאיות התפלת מים להשקיית כרם בחממה בערבה</t>
  </si>
  <si>
    <t>ערכו: אשר אייזנקוט וברכה גל אוגוסט 2014</t>
  </si>
  <si>
    <t>הנחות</t>
  </si>
  <si>
    <t>עלות התפלה - הוצאות שוטפות למ"ק</t>
  </si>
  <si>
    <t>עלות התפלה - הוצאות קבועות לשנה</t>
  </si>
  <si>
    <t>מליחות המים</t>
  </si>
  <si>
    <t>כמות מים</t>
  </si>
  <si>
    <t>יבול</t>
  </si>
  <si>
    <t>עלות מי ברז</t>
  </si>
  <si>
    <t>מליחות מים מותפלים</t>
  </si>
  <si>
    <t>מליחות מי ברז</t>
  </si>
  <si>
    <t>הקצבת מים לכרם</t>
  </si>
  <si>
    <t>אחוז תמלחת</t>
  </si>
  <si>
    <t>אחוז מים מותפלים</t>
  </si>
  <si>
    <t>ללא התפלה</t>
  </si>
  <si>
    <t>מחיר לק"ג - ₪</t>
  </si>
  <si>
    <t>מליחות נדרשת</t>
  </si>
  <si>
    <t>הוצאות גידול</t>
  </si>
  <si>
    <t>כמות מים נדרשת להתפלה (ברוטו)</t>
  </si>
  <si>
    <t>הוצאות מותנות ביבול</t>
  </si>
  <si>
    <t>כמות מים מותפלת נטו</t>
  </si>
  <si>
    <t>מליחות</t>
  </si>
  <si>
    <t>פדיון</t>
  </si>
  <si>
    <t>סה"כ הוצאות</t>
  </si>
  <si>
    <t>יתרה לדונם</t>
  </si>
  <si>
    <t>עלות כוללת מים</t>
  </si>
  <si>
    <t>טון</t>
  </si>
  <si>
    <t>₪ לדונם</t>
  </si>
  <si>
    <t>₪</t>
  </si>
  <si>
    <t>עלות לקוב מעורבב</t>
  </si>
  <si>
    <t>כמות מים נדרשת לדונם</t>
  </si>
  <si>
    <t>כמות דונמים מקסימאלית</t>
  </si>
  <si>
    <t>יתרה לדונם (תרומה ב)</t>
  </si>
  <si>
    <t>תרומה ג</t>
  </si>
  <si>
    <t>סך יתרה מהשטח</t>
  </si>
  <si>
    <t>מליחות 1.1</t>
  </si>
  <si>
    <t>טבלת רגישות תרומה ג למחיר קוב מותפל וליבול לדונם</t>
  </si>
  <si>
    <t>יבול לדונם</t>
  </si>
  <si>
    <t>מ"ק</t>
  </si>
  <si>
    <t>מותפל</t>
  </si>
  <si>
    <t>₪/מ"ק</t>
  </si>
  <si>
    <t>מודל כמויות המים הנדרשות במליחויות שונות</t>
  </si>
  <si>
    <t>מחיר מים</t>
  </si>
  <si>
    <t>עלות מים</t>
  </si>
  <si>
    <t>₪ למ"ק</t>
  </si>
  <si>
    <t>טבלת רגישות למחיר ק"ג ענבים וליבול לדונם</t>
  </si>
  <si>
    <t>לק"ג</t>
  </si>
  <si>
    <t>ענבים</t>
  </si>
  <si>
    <t>₪/ק"ג</t>
  </si>
  <si>
    <t>טבלת רגישות למחיר קוב מותפל ולמחיר לק"ג</t>
  </si>
  <si>
    <t>מחיר לק"ג</t>
  </si>
  <si>
    <t>ללא החזר הון</t>
  </si>
  <si>
    <t>טבלת רגישות למחיר קוב מותפל וליבול לדונם</t>
  </si>
  <si>
    <t>השקעות במערכת התפלה</t>
  </si>
  <si>
    <t>חישוב יתרות לדונם</t>
  </si>
  <si>
    <t>חישוב כדאיות התפלה למליחויות שונות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</si>
</sst>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"/>
    <numFmt numFmtId="166" formatCode="0.0000"/>
    <numFmt numFmtId="167" formatCode="#,##0.0"/>
    <numFmt numFmtId="168" formatCode="#,##0_ ;[Red]\-#,##0\ "/>
  </numFmts>
  <fonts count="12" x14ac:knownFonts="1"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u/>
      <sz val="11"/>
      <color theme="1"/>
      <name val="Arial"/>
      <family val="2"/>
      <charset val="177"/>
      <scheme val="minor"/>
    </font>
    <font>
      <b/>
      <u/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1"/>
      <name val="Arial"/>
      <family val="2"/>
      <charset val="177"/>
      <scheme val="minor"/>
    </font>
    <font>
      <sz val="11"/>
      <color theme="3"/>
      <name val="Arial"/>
      <family val="2"/>
      <charset val="177"/>
      <scheme val="minor"/>
    </font>
    <font>
      <sz val="11"/>
      <color rgb="FFC00000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2" fillId="0" borderId="0" xfId="0" applyFont="1"/>
    <xf numFmtId="9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/>
    <xf numFmtId="0" fontId="3" fillId="0" borderId="0" xfId="0" applyFont="1"/>
    <xf numFmtId="2" fontId="0" fillId="0" borderId="0" xfId="0" applyNumberFormat="1"/>
    <xf numFmtId="3" fontId="0" fillId="0" borderId="0" xfId="0" applyNumberFormat="1"/>
    <xf numFmtId="164" fontId="0" fillId="0" borderId="0" xfId="0" applyNumberFormat="1"/>
    <xf numFmtId="164" fontId="0" fillId="2" borderId="0" xfId="0" applyNumberFormat="1" applyFill="1"/>
    <xf numFmtId="2" fontId="0" fillId="3" borderId="0" xfId="0" applyNumberFormat="1" applyFill="1"/>
    <xf numFmtId="2" fontId="0" fillId="2" borderId="0" xfId="0" applyNumberFormat="1" applyFill="1"/>
    <xf numFmtId="165" fontId="0" fillId="3" borderId="0" xfId="0" applyNumberFormat="1" applyFill="1"/>
    <xf numFmtId="166" fontId="0" fillId="0" borderId="0" xfId="0" applyNumberFormat="1"/>
    <xf numFmtId="165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3" fontId="0" fillId="0" borderId="5" xfId="0" applyNumberFormat="1" applyBorder="1"/>
    <xf numFmtId="3" fontId="0" fillId="0" borderId="6" xfId="0" applyNumberFormat="1" applyBorder="1"/>
    <xf numFmtId="0" fontId="0" fillId="0" borderId="7" xfId="0" applyBorder="1"/>
    <xf numFmtId="3" fontId="0" fillId="0" borderId="8" xfId="0" applyNumberFormat="1" applyBorder="1"/>
    <xf numFmtId="3" fontId="0" fillId="0" borderId="8" xfId="0" applyNumberFormat="1" applyFill="1" applyBorder="1"/>
    <xf numFmtId="0" fontId="0" fillId="0" borderId="8" xfId="0" applyFill="1" applyBorder="1"/>
    <xf numFmtId="0" fontId="0" fillId="0" borderId="10" xfId="0" applyBorder="1"/>
    <xf numFmtId="3" fontId="0" fillId="0" borderId="11" xfId="0" applyNumberFormat="1" applyBorder="1"/>
    <xf numFmtId="0" fontId="0" fillId="0" borderId="11" xfId="0" applyBorder="1"/>
    <xf numFmtId="3" fontId="0" fillId="0" borderId="2" xfId="0" applyNumberFormat="1" applyBorder="1"/>
    <xf numFmtId="3" fontId="0" fillId="0" borderId="3" xfId="0" applyNumberFormat="1" applyBorder="1"/>
    <xf numFmtId="0" fontId="4" fillId="0" borderId="0" xfId="0" applyFont="1"/>
    <xf numFmtId="0" fontId="0" fillId="0" borderId="14" xfId="0" applyBorder="1"/>
    <xf numFmtId="0" fontId="0" fillId="0" borderId="13" xfId="0" applyBorder="1"/>
    <xf numFmtId="0" fontId="0" fillId="0" borderId="15" xfId="0" applyBorder="1"/>
    <xf numFmtId="3" fontId="0" fillId="0" borderId="16" xfId="0" applyNumberFormat="1" applyBorder="1"/>
    <xf numFmtId="0" fontId="5" fillId="0" borderId="18" xfId="0" applyFont="1" applyBorder="1"/>
    <xf numFmtId="0" fontId="5" fillId="0" borderId="19" xfId="0" applyFont="1" applyBorder="1"/>
    <xf numFmtId="0" fontId="0" fillId="0" borderId="16" xfId="0" applyBorder="1"/>
    <xf numFmtId="0" fontId="0" fillId="0" borderId="0" xfId="0" applyBorder="1"/>
    <xf numFmtId="0" fontId="0" fillId="0" borderId="21" xfId="0" applyBorder="1"/>
    <xf numFmtId="9" fontId="0" fillId="0" borderId="16" xfId="0" applyNumberForma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9" fontId="0" fillId="0" borderId="26" xfId="0" applyNumberFormat="1" applyBorder="1"/>
    <xf numFmtId="9" fontId="0" fillId="0" borderId="0" xfId="0" applyNumberFormat="1" applyBorder="1"/>
    <xf numFmtId="0" fontId="0" fillId="0" borderId="0" xfId="0" applyFill="1" applyBorder="1"/>
    <xf numFmtId="0" fontId="0" fillId="0" borderId="27" xfId="0" applyBorder="1"/>
    <xf numFmtId="0" fontId="6" fillId="0" borderId="0" xfId="0" applyFont="1" applyBorder="1" applyAlignment="1">
      <alignment horizontal="left"/>
    </xf>
    <xf numFmtId="0" fontId="6" fillId="0" borderId="0" xfId="0" applyFont="1" applyBorder="1"/>
    <xf numFmtId="0" fontId="0" fillId="0" borderId="28" xfId="0" applyBorder="1"/>
    <xf numFmtId="0" fontId="0" fillId="4" borderId="29" xfId="0" applyFill="1" applyBorder="1"/>
    <xf numFmtId="0" fontId="0" fillId="4" borderId="5" xfId="0" applyFill="1" applyBorder="1"/>
    <xf numFmtId="0" fontId="0" fillId="4" borderId="30" xfId="0" applyFill="1" applyBorder="1"/>
    <xf numFmtId="0" fontId="0" fillId="0" borderId="28" xfId="0" applyFill="1" applyBorder="1"/>
    <xf numFmtId="3" fontId="6" fillId="0" borderId="0" xfId="0" applyNumberFormat="1" applyFont="1" applyBorder="1"/>
    <xf numFmtId="0" fontId="0" fillId="0" borderId="31" xfId="0" applyBorder="1"/>
    <xf numFmtId="3" fontId="0" fillId="0" borderId="32" xfId="0" applyNumberFormat="1" applyBorder="1"/>
    <xf numFmtId="3" fontId="0" fillId="0" borderId="33" xfId="0" applyNumberFormat="1" applyBorder="1"/>
    <xf numFmtId="0" fontId="0" fillId="0" borderId="31" xfId="0" applyFill="1" applyBorder="1"/>
    <xf numFmtId="0" fontId="7" fillId="0" borderId="34" xfId="0" applyFont="1" applyBorder="1"/>
    <xf numFmtId="0" fontId="0" fillId="0" borderId="35" xfId="0" applyBorder="1"/>
    <xf numFmtId="0" fontId="0" fillId="0" borderId="35" xfId="0" applyBorder="1" applyAlignment="1">
      <alignment readingOrder="2"/>
    </xf>
    <xf numFmtId="0" fontId="0" fillId="0" borderId="35" xfId="0" applyBorder="1" applyAlignment="1">
      <alignment horizontal="center" readingOrder="2"/>
    </xf>
    <xf numFmtId="2" fontId="0" fillId="5" borderId="32" xfId="0" applyNumberFormat="1" applyFill="1" applyBorder="1"/>
    <xf numFmtId="2" fontId="0" fillId="5" borderId="8" xfId="0" applyNumberFormat="1" applyFill="1" applyBorder="1"/>
    <xf numFmtId="2" fontId="0" fillId="5" borderId="33" xfId="0" applyNumberFormat="1" applyFill="1" applyBorder="1"/>
    <xf numFmtId="0" fontId="7" fillId="0" borderId="31" xfId="0" applyFont="1" applyBorder="1"/>
    <xf numFmtId="3" fontId="7" fillId="0" borderId="31" xfId="0" applyNumberFormat="1" applyFont="1" applyBorder="1"/>
    <xf numFmtId="3" fontId="7" fillId="6" borderId="31" xfId="0" applyNumberFormat="1" applyFont="1" applyFill="1" applyBorder="1"/>
    <xf numFmtId="0" fontId="0" fillId="0" borderId="32" xfId="0" applyBorder="1"/>
    <xf numFmtId="0" fontId="0" fillId="0" borderId="8" xfId="0" applyBorder="1"/>
    <xf numFmtId="0" fontId="0" fillId="0" borderId="33" xfId="0" applyBorder="1"/>
    <xf numFmtId="3" fontId="0" fillId="0" borderId="31" xfId="0" applyNumberFormat="1" applyFill="1" applyBorder="1"/>
    <xf numFmtId="165" fontId="0" fillId="7" borderId="32" xfId="0" applyNumberFormat="1" applyFill="1" applyBorder="1"/>
    <xf numFmtId="165" fontId="0" fillId="7" borderId="8" xfId="0" applyNumberFormat="1" applyFill="1" applyBorder="1"/>
    <xf numFmtId="165" fontId="0" fillId="7" borderId="33" xfId="0" applyNumberFormat="1" applyFill="1" applyBorder="1"/>
    <xf numFmtId="165" fontId="0" fillId="0" borderId="31" xfId="0" applyNumberFormat="1" applyFill="1" applyBorder="1"/>
    <xf numFmtId="3" fontId="0" fillId="0" borderId="31" xfId="0" applyNumberFormat="1" applyBorder="1"/>
    <xf numFmtId="0" fontId="0" fillId="0" borderId="36" xfId="0" applyBorder="1"/>
    <xf numFmtId="0" fontId="7" fillId="0" borderId="36" xfId="0" applyFont="1" applyBorder="1"/>
    <xf numFmtId="3" fontId="7" fillId="0" borderId="36" xfId="0" applyNumberFormat="1" applyFont="1" applyBorder="1"/>
    <xf numFmtId="3" fontId="7" fillId="6" borderId="36" xfId="0" applyNumberFormat="1" applyFont="1" applyFill="1" applyBorder="1"/>
    <xf numFmtId="3" fontId="8" fillId="2" borderId="37" xfId="0" applyNumberFormat="1" applyFont="1" applyFill="1" applyBorder="1"/>
    <xf numFmtId="3" fontId="6" fillId="2" borderId="11" xfId="0" applyNumberFormat="1" applyFont="1" applyFill="1" applyBorder="1"/>
    <xf numFmtId="3" fontId="6" fillId="2" borderId="38" xfId="0" applyNumberFormat="1" applyFont="1" applyFill="1" applyBorder="1"/>
    <xf numFmtId="3" fontId="6" fillId="2" borderId="36" xfId="0" applyNumberFormat="1" applyFont="1" applyFill="1" applyBorder="1"/>
    <xf numFmtId="0" fontId="0" fillId="0" borderId="0" xfId="0" applyFill="1"/>
    <xf numFmtId="3" fontId="0" fillId="0" borderId="0" xfId="0" applyNumberFormat="1" applyFill="1" applyBorder="1"/>
    <xf numFmtId="167" fontId="3" fillId="0" borderId="0" xfId="0" applyNumberFormat="1" applyFont="1" applyFill="1" applyBorder="1"/>
    <xf numFmtId="165" fontId="0" fillId="0" borderId="0" xfId="0" applyNumberFormat="1" applyFill="1" applyBorder="1"/>
    <xf numFmtId="165" fontId="1" fillId="0" borderId="34" xfId="0" applyNumberFormat="1" applyFont="1" applyFill="1" applyBorder="1"/>
    <xf numFmtId="167" fontId="0" fillId="0" borderId="39" xfId="0" applyNumberFormat="1" applyFill="1" applyBorder="1"/>
    <xf numFmtId="4" fontId="0" fillId="0" borderId="40" xfId="0" applyNumberFormat="1" applyFill="1" applyBorder="1"/>
    <xf numFmtId="167" fontId="0" fillId="0" borderId="40" xfId="0" applyNumberFormat="1" applyFill="1" applyBorder="1"/>
    <xf numFmtId="4" fontId="0" fillId="0" borderId="41" xfId="0" applyNumberFormat="1" applyBorder="1"/>
    <xf numFmtId="167" fontId="0" fillId="0" borderId="27" xfId="0" applyNumberFormat="1" applyFill="1" applyBorder="1"/>
    <xf numFmtId="3" fontId="0" fillId="0" borderId="13" xfId="0" applyNumberFormat="1" applyFill="1" applyBorder="1"/>
    <xf numFmtId="3" fontId="0" fillId="0" borderId="42" xfId="0" applyNumberFormat="1" applyFill="1" applyBorder="1"/>
    <xf numFmtId="3" fontId="0" fillId="0" borderId="14" xfId="0" applyNumberFormat="1" applyFill="1" applyBorder="1"/>
    <xf numFmtId="0" fontId="0" fillId="0" borderId="0" xfId="0" applyFill="1" applyBorder="1" applyAlignment="1">
      <alignment horizontal="left"/>
    </xf>
    <xf numFmtId="167" fontId="0" fillId="0" borderId="43" xfId="0" applyNumberFormat="1" applyFill="1" applyBorder="1"/>
    <xf numFmtId="3" fontId="0" fillId="0" borderId="15" xfId="0" applyNumberFormat="1" applyFill="1" applyBorder="1"/>
    <xf numFmtId="3" fontId="0" fillId="0" borderId="16" xfId="0" applyNumberFormat="1" applyFill="1" applyBorder="1"/>
    <xf numFmtId="167" fontId="9" fillId="0" borderId="43" xfId="0" applyNumberFormat="1" applyFont="1" applyFill="1" applyBorder="1"/>
    <xf numFmtId="0" fontId="0" fillId="0" borderId="0" xfId="0" applyAlignment="1">
      <alignment horizontal="left"/>
    </xf>
    <xf numFmtId="167" fontId="0" fillId="0" borderId="43" xfId="0" applyNumberFormat="1" applyBorder="1"/>
    <xf numFmtId="0" fontId="0" fillId="0" borderId="0" xfId="0" applyAlignment="1">
      <alignment readingOrder="2"/>
    </xf>
    <xf numFmtId="167" fontId="0" fillId="0" borderId="44" xfId="0" applyNumberFormat="1" applyBorder="1"/>
    <xf numFmtId="3" fontId="0" fillId="0" borderId="25" xfId="0" applyNumberFormat="1" applyFill="1" applyBorder="1"/>
    <xf numFmtId="3" fontId="0" fillId="0" borderId="45" xfId="0" applyNumberFormat="1" applyFill="1" applyBorder="1"/>
    <xf numFmtId="3" fontId="0" fillId="0" borderId="26" xfId="0" applyNumberFormat="1" applyFill="1" applyBorder="1"/>
    <xf numFmtId="4" fontId="0" fillId="0" borderId="31" xfId="0" applyNumberFormat="1" applyBorder="1"/>
    <xf numFmtId="3" fontId="0" fillId="0" borderId="36" xfId="0" applyNumberFormat="1" applyBorder="1"/>
    <xf numFmtId="4" fontId="0" fillId="0" borderId="36" xfId="0" applyNumberFormat="1" applyBorder="1"/>
    <xf numFmtId="0" fontId="7" fillId="0" borderId="0" xfId="0" applyFont="1" applyBorder="1"/>
    <xf numFmtId="3" fontId="0" fillId="0" borderId="27" xfId="0" applyNumberFormat="1" applyFill="1" applyBorder="1"/>
    <xf numFmtId="168" fontId="0" fillId="0" borderId="13" xfId="0" applyNumberFormat="1" applyFill="1" applyBorder="1" applyAlignment="1"/>
    <xf numFmtId="168" fontId="0" fillId="0" borderId="42" xfId="0" applyNumberFormat="1" applyFill="1" applyBorder="1" applyAlignment="1"/>
    <xf numFmtId="168" fontId="0" fillId="0" borderId="14" xfId="0" applyNumberFormat="1" applyFill="1" applyBorder="1" applyAlignment="1"/>
    <xf numFmtId="3" fontId="0" fillId="0" borderId="43" xfId="0" applyNumberFormat="1" applyFill="1" applyBorder="1"/>
    <xf numFmtId="168" fontId="0" fillId="0" borderId="15" xfId="0" applyNumberFormat="1" applyFill="1" applyBorder="1" applyAlignment="1"/>
    <xf numFmtId="168" fontId="0" fillId="0" borderId="0" xfId="0" applyNumberFormat="1" applyFill="1" applyBorder="1" applyAlignment="1"/>
    <xf numFmtId="168" fontId="0" fillId="0" borderId="16" xfId="0" applyNumberFormat="1" applyFill="1" applyBorder="1" applyAlignment="1"/>
    <xf numFmtId="3" fontId="9" fillId="0" borderId="43" xfId="0" applyNumberFormat="1" applyFont="1" applyFill="1" applyBorder="1"/>
    <xf numFmtId="3" fontId="0" fillId="0" borderId="43" xfId="0" applyNumberFormat="1" applyBorder="1"/>
    <xf numFmtId="3" fontId="0" fillId="0" borderId="44" xfId="0" applyNumberFormat="1" applyBorder="1"/>
    <xf numFmtId="168" fontId="0" fillId="0" borderId="25" xfId="0" applyNumberFormat="1" applyFill="1" applyBorder="1" applyAlignment="1"/>
    <xf numFmtId="168" fontId="0" fillId="0" borderId="45" xfId="0" applyNumberFormat="1" applyFill="1" applyBorder="1" applyAlignment="1"/>
    <xf numFmtId="168" fontId="0" fillId="0" borderId="26" xfId="0" applyNumberFormat="1" applyFill="1" applyBorder="1" applyAlignment="1"/>
    <xf numFmtId="3" fontId="0" fillId="0" borderId="39" xfId="0" applyNumberFormat="1" applyFill="1" applyBorder="1"/>
    <xf numFmtId="3" fontId="0" fillId="0" borderId="40" xfId="0" applyNumberFormat="1" applyFill="1" applyBorder="1"/>
    <xf numFmtId="3" fontId="0" fillId="0" borderId="41" xfId="0" applyNumberFormat="1" applyBorder="1"/>
    <xf numFmtId="0" fontId="0" fillId="0" borderId="6" xfId="0" applyFill="1" applyBorder="1"/>
    <xf numFmtId="0" fontId="0" fillId="0" borderId="9" xfId="0" applyFill="1" applyBorder="1"/>
    <xf numFmtId="3" fontId="0" fillId="0" borderId="9" xfId="0" applyNumberFormat="1" applyFill="1" applyBorder="1"/>
    <xf numFmtId="165" fontId="0" fillId="0" borderId="9" xfId="0" applyNumberFormat="1" applyFill="1" applyBorder="1"/>
    <xf numFmtId="3" fontId="8" fillId="2" borderId="11" xfId="0" applyNumberFormat="1" applyFont="1" applyFill="1" applyBorder="1"/>
    <xf numFmtId="3" fontId="6" fillId="2" borderId="12" xfId="0" applyNumberFormat="1" applyFont="1" applyFill="1" applyBorder="1"/>
    <xf numFmtId="0" fontId="5" fillId="0" borderId="17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2" fillId="0" borderId="0" xfId="0" applyFont="1" applyBorder="1" applyAlignment="1">
      <alignment horizontal="right"/>
    </xf>
    <xf numFmtId="0" fontId="2" fillId="0" borderId="45" xfId="0" applyFont="1" applyBorder="1"/>
    <xf numFmtId="0" fontId="0" fillId="0" borderId="45" xfId="0" applyBorder="1"/>
    <xf numFmtId="0" fontId="2" fillId="0" borderId="15" xfId="0" applyFont="1" applyFill="1" applyBorder="1"/>
    <xf numFmtId="3" fontId="7" fillId="0" borderId="0" xfId="0" applyNumberFormat="1" applyFont="1" applyBorder="1"/>
    <xf numFmtId="3" fontId="0" fillId="0" borderId="0" xfId="0" applyNumberFormat="1" applyBorder="1"/>
    <xf numFmtId="4" fontId="0" fillId="0" borderId="0" xfId="0" applyNumberFormat="1" applyBorder="1"/>
    <xf numFmtId="0" fontId="2" fillId="0" borderId="0" xfId="0" applyFont="1" applyFill="1" applyBorder="1"/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ab\Downloads\&#1506;&#1500;&#1493;&#1514;%20&#1492;&#1514;&#1508;&#1500;&#1492;%20&#1489;&#1499;&#1512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משתלה"/>
      <sheetName val="מנגו"/>
      <sheetName val="גיליון2"/>
      <sheetName val="כרם"/>
      <sheetName val="כרם FAO"/>
      <sheetName val="כרם תיקון"/>
      <sheetName val="כרם תיקון (2)"/>
      <sheetName val="הנחות"/>
      <sheetName val="מליחות"/>
      <sheetName val="כדאיות התפלה בכרם"/>
    </sheetNames>
    <sheetDataSet>
      <sheetData sheetId="0"/>
      <sheetData sheetId="1"/>
      <sheetData sheetId="2"/>
      <sheetData sheetId="3"/>
      <sheetData sheetId="4"/>
      <sheetData sheetId="5">
        <row r="26">
          <cell r="F26">
            <v>0.5</v>
          </cell>
          <cell r="G26">
            <v>1100</v>
          </cell>
          <cell r="H26">
            <v>2</v>
          </cell>
        </row>
        <row r="27">
          <cell r="F27">
            <v>1.1000000000000001</v>
          </cell>
          <cell r="G27">
            <v>1220</v>
          </cell>
          <cell r="H27">
            <v>2</v>
          </cell>
        </row>
        <row r="28">
          <cell r="F28">
            <v>1.5</v>
          </cell>
          <cell r="G28">
            <v>1570</v>
          </cell>
          <cell r="H28">
            <v>2</v>
          </cell>
        </row>
        <row r="29">
          <cell r="F29">
            <v>2.2000000000000002</v>
          </cell>
          <cell r="G29">
            <v>1800</v>
          </cell>
          <cell r="H29">
            <v>1.75</v>
          </cell>
        </row>
        <row r="30">
          <cell r="F30">
            <v>0</v>
          </cell>
          <cell r="G30">
            <v>0</v>
          </cell>
          <cell r="H30">
            <v>0</v>
          </cell>
        </row>
        <row r="31">
          <cell r="F31">
            <v>3.3</v>
          </cell>
          <cell r="G31">
            <v>2100</v>
          </cell>
          <cell r="H31">
            <v>1.5</v>
          </cell>
        </row>
      </sheetData>
      <sheetData sheetId="6"/>
      <sheetData sheetId="7"/>
      <sheetData sheetId="8"/>
      <sheetData sheetId="9">
        <row r="6">
          <cell r="G6" t="str">
            <v>מליחות המים</v>
          </cell>
          <cell r="H6" t="str">
            <v>כמות מים</v>
          </cell>
          <cell r="I6" t="str">
            <v>יבול</v>
          </cell>
        </row>
        <row r="7">
          <cell r="G7">
            <v>0.1</v>
          </cell>
          <cell r="H7">
            <v>1100</v>
          </cell>
          <cell r="I7">
            <v>2</v>
          </cell>
        </row>
        <row r="8">
          <cell r="G8">
            <v>1.1000000000000001</v>
          </cell>
          <cell r="H8">
            <v>1220</v>
          </cell>
          <cell r="I8">
            <v>2</v>
          </cell>
        </row>
        <row r="9">
          <cell r="G9">
            <v>1.5</v>
          </cell>
          <cell r="H9">
            <v>1570</v>
          </cell>
          <cell r="I9">
            <v>2</v>
          </cell>
        </row>
        <row r="10">
          <cell r="G10">
            <v>2.2000000000000002</v>
          </cell>
          <cell r="H10">
            <v>1800</v>
          </cell>
          <cell r="I10">
            <v>1.75</v>
          </cell>
        </row>
        <row r="11">
          <cell r="G11">
            <v>3.2</v>
          </cell>
          <cell r="H11">
            <v>2100</v>
          </cell>
          <cell r="I11">
            <v>1.5</v>
          </cell>
        </row>
        <row r="15">
          <cell r="B15">
            <v>1.1000000000000001</v>
          </cell>
          <cell r="C15">
            <v>1.5</v>
          </cell>
          <cell r="D15">
            <v>2.2000000000000002</v>
          </cell>
          <cell r="E15">
            <v>3.2</v>
          </cell>
        </row>
        <row r="16">
          <cell r="B16">
            <v>26837.060702875395</v>
          </cell>
          <cell r="C16">
            <v>21725.239616613417</v>
          </cell>
          <cell r="D16">
            <v>12779.552715654951</v>
          </cell>
          <cell r="E16">
            <v>0</v>
          </cell>
        </row>
        <row r="17">
          <cell r="B17">
            <v>18785.942492012775</v>
          </cell>
          <cell r="C17">
            <v>15207.66773162939</v>
          </cell>
          <cell r="D17">
            <v>8945.6869009584643</v>
          </cell>
          <cell r="E17">
            <v>0</v>
          </cell>
          <cell r="H17" t="str">
            <v>מליחות</v>
          </cell>
          <cell r="I17" t="str">
            <v>יבול</v>
          </cell>
          <cell r="J17" t="str">
            <v>פדיון</v>
          </cell>
          <cell r="K17" t="str">
            <v>סה"כ הוצאות</v>
          </cell>
          <cell r="L17" t="str">
            <v>יתרה לדונם</v>
          </cell>
          <cell r="M17" t="str">
            <v>כמות מים</v>
          </cell>
          <cell r="N17" t="str">
            <v>מחיר מים</v>
          </cell>
          <cell r="O17" t="str">
            <v>עלות מים</v>
          </cell>
        </row>
        <row r="18">
          <cell r="B18">
            <v>95057.507987220437</v>
          </cell>
          <cell r="C18">
            <v>89332.268370607024</v>
          </cell>
          <cell r="D18">
            <v>79313.09904153354</v>
          </cell>
          <cell r="E18">
            <v>0</v>
          </cell>
          <cell r="H18">
            <v>0</v>
          </cell>
          <cell r="I18" t="str">
            <v>טון</v>
          </cell>
          <cell r="J18" t="str">
            <v>₪ לדונם</v>
          </cell>
          <cell r="K18" t="str">
            <v>₪ לדונם</v>
          </cell>
          <cell r="L18" t="str">
            <v>₪</v>
          </cell>
          <cell r="M18" t="str">
            <v>מ"ק</v>
          </cell>
          <cell r="N18" t="str">
            <v>₪ למ"ק</v>
          </cell>
          <cell r="O18" t="str">
            <v>₪</v>
          </cell>
        </row>
        <row r="19">
          <cell r="B19">
            <v>2.376437699680511</v>
          </cell>
          <cell r="C19">
            <v>2.2333067092651757</v>
          </cell>
          <cell r="D19">
            <v>1.9828274760383384</v>
          </cell>
          <cell r="E19">
            <v>1.2</v>
          </cell>
          <cell r="H19">
            <v>3.2</v>
          </cell>
          <cell r="I19">
            <v>1.5</v>
          </cell>
          <cell r="J19">
            <v>30000</v>
          </cell>
          <cell r="K19">
            <v>16811.161249999997</v>
          </cell>
          <cell r="L19">
            <v>13188.838750000003</v>
          </cell>
          <cell r="M19">
            <v>2100</v>
          </cell>
          <cell r="N19">
            <v>1.2</v>
          </cell>
          <cell r="O19">
            <v>2520</v>
          </cell>
        </row>
        <row r="20">
          <cell r="B20">
            <v>1220</v>
          </cell>
          <cell r="C20">
            <v>1570</v>
          </cell>
          <cell r="D20">
            <v>1800</v>
          </cell>
          <cell r="E20">
            <v>2100</v>
          </cell>
          <cell r="H20">
            <v>2.2000000000000002</v>
          </cell>
          <cell r="I20">
            <v>1.75</v>
          </cell>
          <cell r="J20">
            <v>35000</v>
          </cell>
          <cell r="K20">
            <v>18952.510001996805</v>
          </cell>
          <cell r="L20">
            <v>16047.489998003195</v>
          </cell>
          <cell r="M20">
            <v>1800</v>
          </cell>
          <cell r="N20">
            <v>1.9828274760383384</v>
          </cell>
          <cell r="O20">
            <v>3569.0894568690092</v>
          </cell>
        </row>
        <row r="21">
          <cell r="B21">
            <v>32.786885245901637</v>
          </cell>
          <cell r="C21">
            <v>25.477707006369428</v>
          </cell>
          <cell r="D21">
            <v>22.222222222222221</v>
          </cell>
          <cell r="E21">
            <v>19.047619047619047</v>
          </cell>
          <cell r="H21">
            <v>1.5</v>
          </cell>
          <cell r="I21">
            <v>2</v>
          </cell>
          <cell r="J21">
            <v>40000</v>
          </cell>
          <cell r="K21">
            <v>19920.817567891372</v>
          </cell>
          <cell r="L21">
            <v>20079.182432108628</v>
          </cell>
          <cell r="M21">
            <v>1570</v>
          </cell>
          <cell r="N21">
            <v>2.2333067092651757</v>
          </cell>
          <cell r="O21">
            <v>3506.2915335463258</v>
          </cell>
        </row>
        <row r="22">
          <cell r="B22">
            <v>20719.607036741218</v>
          </cell>
          <cell r="C22">
            <v>20079.182432108628</v>
          </cell>
          <cell r="D22">
            <v>16047.489998003195</v>
          </cell>
          <cell r="E22">
            <v>13188.838750000003</v>
          </cell>
          <cell r="H22">
            <v>1.1000000000000001</v>
          </cell>
          <cell r="I22">
            <v>2</v>
          </cell>
          <cell r="J22">
            <v>40000</v>
          </cell>
          <cell r="K22">
            <v>19280.392963258782</v>
          </cell>
          <cell r="L22">
            <v>20719.607036741218</v>
          </cell>
          <cell r="M22">
            <v>1220</v>
          </cell>
          <cell r="N22">
            <v>2.376437699680511</v>
          </cell>
          <cell r="O22">
            <v>2899.2539936102235</v>
          </cell>
        </row>
        <row r="23">
          <cell r="B23">
            <v>5100</v>
          </cell>
          <cell r="C23">
            <v>5100</v>
          </cell>
          <cell r="D23">
            <v>5100</v>
          </cell>
          <cell r="E23">
            <v>6500</v>
          </cell>
        </row>
        <row r="24">
          <cell r="B24">
            <v>15619.607036741218</v>
          </cell>
          <cell r="C24">
            <v>14979.182432108628</v>
          </cell>
          <cell r="D24">
            <v>10947.489998003195</v>
          </cell>
          <cell r="E24">
            <v>6688.8387500000026</v>
          </cell>
        </row>
        <row r="25">
          <cell r="B25">
            <v>512118.26349971199</v>
          </cell>
          <cell r="C25">
            <v>381635.22120021982</v>
          </cell>
          <cell r="D25">
            <v>243277.55551118212</v>
          </cell>
          <cell r="E25">
            <v>127406.45238095243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7"/>
  <sheetViews>
    <sheetView rightToLeft="1" topLeftCell="A3" workbookViewId="0">
      <selection activeCell="E24" sqref="E24"/>
    </sheetView>
  </sheetViews>
  <sheetFormatPr defaultRowHeight="14.25" x14ac:dyDescent="0.2"/>
  <cols>
    <col min="1" max="1" width="4.375" customWidth="1"/>
    <col min="2" max="2" width="32.125" customWidth="1"/>
    <col min="3" max="3" width="8.75" customWidth="1"/>
    <col min="5" max="5" width="13.5" customWidth="1"/>
  </cols>
  <sheetData>
    <row r="2" spans="2:17" ht="15" x14ac:dyDescent="0.25">
      <c r="B2" s="1" t="s">
        <v>0</v>
      </c>
      <c r="G2" t="s">
        <v>1</v>
      </c>
    </row>
    <row r="3" spans="2:17" x14ac:dyDescent="0.2">
      <c r="B3" t="s">
        <v>2</v>
      </c>
      <c r="D3" s="2">
        <v>7.0000000000000007E-2</v>
      </c>
    </row>
    <row r="4" spans="2:17" x14ac:dyDescent="0.2">
      <c r="B4" t="s">
        <v>3</v>
      </c>
      <c r="D4">
        <v>1.8</v>
      </c>
      <c r="P4" t="s">
        <v>4</v>
      </c>
      <c r="Q4" s="3" t="s">
        <v>5</v>
      </c>
    </row>
    <row r="5" spans="2:17" x14ac:dyDescent="0.2">
      <c r="B5" t="s">
        <v>6</v>
      </c>
      <c r="D5">
        <v>100</v>
      </c>
      <c r="Q5" s="4">
        <v>41658</v>
      </c>
    </row>
    <row r="6" spans="2:17" x14ac:dyDescent="0.2">
      <c r="B6" t="s">
        <v>7</v>
      </c>
      <c r="D6">
        <v>6</v>
      </c>
      <c r="Q6" t="s">
        <v>8</v>
      </c>
    </row>
    <row r="7" spans="2:17" x14ac:dyDescent="0.2">
      <c r="B7" s="5" t="s">
        <v>9</v>
      </c>
    </row>
    <row r="8" spans="2:17" x14ac:dyDescent="0.2">
      <c r="B8" t="s">
        <v>10</v>
      </c>
      <c r="D8" t="s">
        <v>11</v>
      </c>
      <c r="F8" t="s">
        <v>12</v>
      </c>
      <c r="G8" t="s">
        <v>13</v>
      </c>
      <c r="H8" t="s">
        <v>14</v>
      </c>
      <c r="I8" t="s">
        <v>15</v>
      </c>
    </row>
    <row r="9" spans="2:17" x14ac:dyDescent="0.2">
      <c r="B9" t="s">
        <v>16</v>
      </c>
      <c r="D9" s="6">
        <f>1/0.7</f>
        <v>1.4285714285714286</v>
      </c>
      <c r="E9" t="s">
        <v>17</v>
      </c>
      <c r="F9">
        <f>+D4</f>
        <v>1.8</v>
      </c>
      <c r="G9" s="6">
        <f>+F9*D9</f>
        <v>2.5714285714285716</v>
      </c>
      <c r="I9" s="6">
        <f>+G9</f>
        <v>2.5714285714285716</v>
      </c>
    </row>
    <row r="10" spans="2:17" x14ac:dyDescent="0.2">
      <c r="B10" t="s">
        <v>18</v>
      </c>
      <c r="C10" t="s">
        <v>19</v>
      </c>
      <c r="D10">
        <v>6.0000000000000001E-3</v>
      </c>
      <c r="E10" t="s">
        <v>20</v>
      </c>
      <c r="F10">
        <v>26</v>
      </c>
      <c r="G10">
        <f>+F10*D10</f>
        <v>0.156</v>
      </c>
      <c r="H10">
        <v>1.5</v>
      </c>
      <c r="I10">
        <f>+G10*H10</f>
        <v>0.23399999999999999</v>
      </c>
    </row>
    <row r="11" spans="2:17" x14ac:dyDescent="0.2">
      <c r="B11" t="s">
        <v>21</v>
      </c>
      <c r="D11">
        <v>2</v>
      </c>
      <c r="E11" t="s">
        <v>22</v>
      </c>
      <c r="F11">
        <v>160</v>
      </c>
      <c r="G11">
        <f>+F11*D11</f>
        <v>320</v>
      </c>
      <c r="H11" s="7">
        <v>6000</v>
      </c>
      <c r="I11" s="8">
        <f>+G11/H11</f>
        <v>5.3333333333333337E-2</v>
      </c>
    </row>
    <row r="12" spans="2:17" x14ac:dyDescent="0.2">
      <c r="B12" t="s">
        <v>23</v>
      </c>
      <c r="C12" t="s">
        <v>24</v>
      </c>
      <c r="D12">
        <v>5.5</v>
      </c>
      <c r="E12" t="s">
        <v>25</v>
      </c>
      <c r="F12">
        <f>+O18</f>
        <v>17.119999999999997</v>
      </c>
      <c r="G12">
        <f>+F12*D12</f>
        <v>94.159999999999982</v>
      </c>
      <c r="H12" s="7">
        <f>+D5</f>
        <v>100</v>
      </c>
      <c r="I12" s="8">
        <f>+G12/H12</f>
        <v>0.94159999999999977</v>
      </c>
      <c r="L12" t="s">
        <v>26</v>
      </c>
    </row>
    <row r="13" spans="2:17" x14ac:dyDescent="0.2">
      <c r="B13" t="s">
        <v>27</v>
      </c>
      <c r="H13" s="7"/>
      <c r="I13" s="9">
        <f>SUM(I9:I12)</f>
        <v>3.8003619047619046</v>
      </c>
      <c r="J13" s="8"/>
    </row>
    <row r="14" spans="2:17" x14ac:dyDescent="0.2">
      <c r="B14" s="5" t="s">
        <v>28</v>
      </c>
      <c r="H14" s="7"/>
      <c r="J14" s="8"/>
      <c r="L14" t="s">
        <v>29</v>
      </c>
      <c r="M14" t="s">
        <v>30</v>
      </c>
      <c r="N14" t="s">
        <v>12</v>
      </c>
      <c r="O14" t="s">
        <v>31</v>
      </c>
    </row>
    <row r="15" spans="2:17" x14ac:dyDescent="0.2">
      <c r="B15" t="s">
        <v>32</v>
      </c>
      <c r="C15" t="s">
        <v>33</v>
      </c>
      <c r="D15">
        <v>5</v>
      </c>
      <c r="E15" t="s">
        <v>34</v>
      </c>
      <c r="F15" s="7">
        <v>2850</v>
      </c>
      <c r="G15" s="7">
        <f>+F15*D15</f>
        <v>14250</v>
      </c>
      <c r="H15" s="7">
        <f>D5*D6*30*5</f>
        <v>90000</v>
      </c>
      <c r="I15" s="8">
        <f>+G15/H15</f>
        <v>0.15833333333333333</v>
      </c>
      <c r="L15" t="s">
        <v>35</v>
      </c>
      <c r="M15">
        <v>7</v>
      </c>
      <c r="N15">
        <v>1.3</v>
      </c>
      <c r="O15">
        <f>+N15*M15</f>
        <v>9.1</v>
      </c>
    </row>
    <row r="16" spans="2:17" x14ac:dyDescent="0.2">
      <c r="B16" t="s">
        <v>36</v>
      </c>
      <c r="E16" t="s">
        <v>37</v>
      </c>
      <c r="G16" s="7">
        <v>1000</v>
      </c>
      <c r="H16" s="7">
        <f>D5*D6*30*2</f>
        <v>36000</v>
      </c>
      <c r="I16" s="8">
        <f>+G16/H16</f>
        <v>2.7777777777777776E-2</v>
      </c>
      <c r="L16" t="s">
        <v>38</v>
      </c>
      <c r="M16">
        <v>7</v>
      </c>
      <c r="N16">
        <v>0.56000000000000005</v>
      </c>
      <c r="O16">
        <f>+N16*M16</f>
        <v>3.9200000000000004</v>
      </c>
    </row>
    <row r="17" spans="2:15" x14ac:dyDescent="0.2">
      <c r="B17" t="s">
        <v>39</v>
      </c>
      <c r="D17">
        <v>350</v>
      </c>
      <c r="E17" t="s">
        <v>37</v>
      </c>
      <c r="F17">
        <v>16</v>
      </c>
      <c r="G17" s="7">
        <f>+F17*D17</f>
        <v>5600</v>
      </c>
      <c r="H17" s="7">
        <f>D5*D6*30*2</f>
        <v>36000</v>
      </c>
      <c r="I17" s="8">
        <f>+G17/H17</f>
        <v>0.15555555555555556</v>
      </c>
      <c r="L17" t="s">
        <v>40</v>
      </c>
      <c r="M17">
        <v>10</v>
      </c>
      <c r="N17">
        <v>0.41</v>
      </c>
      <c r="O17">
        <f>+N17*M17</f>
        <v>4.0999999999999996</v>
      </c>
    </row>
    <row r="18" spans="2:15" x14ac:dyDescent="0.2">
      <c r="B18" t="s">
        <v>41</v>
      </c>
      <c r="I18" s="9">
        <f>SUM(I15:I17)</f>
        <v>0.34166666666666667</v>
      </c>
      <c r="M18">
        <f>SUM(M15:M17)</f>
        <v>24</v>
      </c>
      <c r="N18" t="s">
        <v>42</v>
      </c>
      <c r="O18">
        <f>SUM(O15:O17)</f>
        <v>17.119999999999997</v>
      </c>
    </row>
    <row r="19" spans="2:15" x14ac:dyDescent="0.2">
      <c r="B19" t="s">
        <v>43</v>
      </c>
      <c r="I19" s="10">
        <f>+I13+I18</f>
        <v>4.1420285714285709</v>
      </c>
      <c r="L19" t="s">
        <v>44</v>
      </c>
      <c r="M19" s="6">
        <f>+O18/M18</f>
        <v>0.71333333333333326</v>
      </c>
    </row>
    <row r="20" spans="2:15" x14ac:dyDescent="0.2">
      <c r="I20" s="6">
        <f>+I19-I9</f>
        <v>1.5705999999999993</v>
      </c>
      <c r="M20" s="6"/>
    </row>
    <row r="21" spans="2:15" x14ac:dyDescent="0.2">
      <c r="B21" t="s">
        <v>45</v>
      </c>
      <c r="C21" s="7">
        <v>200000</v>
      </c>
    </row>
    <row r="22" spans="2:15" x14ac:dyDescent="0.2">
      <c r="B22" t="s">
        <v>46</v>
      </c>
      <c r="C22">
        <v>15</v>
      </c>
    </row>
    <row r="23" spans="2:15" x14ac:dyDescent="0.2">
      <c r="B23" t="s">
        <v>47</v>
      </c>
      <c r="C23" s="7">
        <f>-PMT(D3,C22,C21)</f>
        <v>21958.924940201308</v>
      </c>
    </row>
    <row r="24" spans="2:15" x14ac:dyDescent="0.2">
      <c r="B24" t="s">
        <v>15</v>
      </c>
      <c r="C24" s="11">
        <f>+C23/(D5*D6*30)</f>
        <v>1.2199402744556282</v>
      </c>
    </row>
    <row r="26" spans="2:15" x14ac:dyDescent="0.2">
      <c r="B26" t="s">
        <v>48</v>
      </c>
      <c r="C26" s="12">
        <f>+I13+I18+C24</f>
        <v>5.3619688458841992</v>
      </c>
      <c r="D26" s="13"/>
    </row>
    <row r="27" spans="2:15" x14ac:dyDescent="0.2">
      <c r="C27" s="14">
        <f>+C26-I9</f>
        <v>2.7905402744556276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110"/>
  <sheetViews>
    <sheetView rightToLeft="1" tabSelected="1" topLeftCell="A27" zoomScale="130" zoomScaleNormal="130" workbookViewId="0">
      <selection activeCell="H38" sqref="H38"/>
    </sheetView>
  </sheetViews>
  <sheetFormatPr defaultRowHeight="14.25" x14ac:dyDescent="0.2"/>
  <cols>
    <col min="1" max="1" width="25.875" customWidth="1"/>
    <col min="2" max="2" width="9.875" customWidth="1"/>
    <col min="3" max="4" width="9.125" bestFit="1" customWidth="1"/>
    <col min="5" max="6" width="9.5" bestFit="1" customWidth="1"/>
    <col min="11" max="11" width="10" customWidth="1"/>
    <col min="13" max="13" width="11.75" customWidth="1"/>
  </cols>
  <sheetData>
    <row r="1" spans="1:6" ht="15.75" x14ac:dyDescent="0.25">
      <c r="A1" s="30" t="s">
        <v>56</v>
      </c>
    </row>
    <row r="2" spans="1:6" x14ac:dyDescent="0.2">
      <c r="A2" t="s">
        <v>57</v>
      </c>
    </row>
    <row r="4" spans="1:6" ht="15" x14ac:dyDescent="0.25">
      <c r="A4" s="1" t="s">
        <v>109</v>
      </c>
    </row>
    <row r="5" spans="1:6" x14ac:dyDescent="0.2">
      <c r="A5" s="15"/>
      <c r="B5" s="16" t="s">
        <v>13</v>
      </c>
      <c r="C5" s="16" t="s">
        <v>46</v>
      </c>
      <c r="D5" s="17" t="s">
        <v>49</v>
      </c>
    </row>
    <row r="6" spans="1:6" x14ac:dyDescent="0.2">
      <c r="A6" s="18" t="s">
        <v>50</v>
      </c>
      <c r="B6" s="19">
        <v>91000</v>
      </c>
      <c r="C6" s="19">
        <v>20</v>
      </c>
      <c r="D6" s="20">
        <f>-PMT(7%,C6,B6)</f>
        <v>8589.7562426362674</v>
      </c>
    </row>
    <row r="7" spans="1:6" x14ac:dyDescent="0.2">
      <c r="A7" s="21" t="s">
        <v>51</v>
      </c>
      <c r="B7" s="22">
        <v>33883.5</v>
      </c>
      <c r="C7" s="22">
        <v>20</v>
      </c>
      <c r="D7" s="20">
        <f t="shared" ref="D7:D10" si="0">-PMT(7%,C7,B7)</f>
        <v>3198.3626994216042</v>
      </c>
    </row>
    <row r="8" spans="1:6" x14ac:dyDescent="0.2">
      <c r="A8" s="21" t="s">
        <v>52</v>
      </c>
      <c r="B8" s="23">
        <v>22000</v>
      </c>
      <c r="C8" s="24">
        <v>20</v>
      </c>
      <c r="D8" s="20">
        <f t="shared" si="0"/>
        <v>2076.6443663516252</v>
      </c>
    </row>
    <row r="9" spans="1:6" x14ac:dyDescent="0.2">
      <c r="A9" s="21" t="s">
        <v>53</v>
      </c>
      <c r="B9" s="23">
        <v>5000</v>
      </c>
      <c r="C9" s="24">
        <v>5</v>
      </c>
      <c r="D9" s="20">
        <f t="shared" si="0"/>
        <v>1219.4534722068704</v>
      </c>
    </row>
    <row r="10" spans="1:6" x14ac:dyDescent="0.2">
      <c r="A10" s="25" t="s">
        <v>54</v>
      </c>
      <c r="B10" s="26">
        <f>SUM(B6:B9)*10%</f>
        <v>15188.35</v>
      </c>
      <c r="C10" s="27">
        <v>12</v>
      </c>
      <c r="D10" s="20">
        <f t="shared" si="0"/>
        <v>1912.24346938848</v>
      </c>
    </row>
    <row r="11" spans="1:6" x14ac:dyDescent="0.2">
      <c r="A11" s="15" t="s">
        <v>55</v>
      </c>
      <c r="B11" s="28">
        <f>SUM(B6:B10)</f>
        <v>167071.85</v>
      </c>
      <c r="C11" s="16"/>
      <c r="D11" s="29">
        <f>SUM(D6:D10)</f>
        <v>16996.46025000485</v>
      </c>
    </row>
    <row r="13" spans="1:6" ht="15.75" thickBot="1" x14ac:dyDescent="0.3">
      <c r="A13" s="143" t="s">
        <v>58</v>
      </c>
      <c r="B13" s="144"/>
      <c r="D13" s="145" t="s">
        <v>97</v>
      </c>
      <c r="E13" s="45"/>
    </row>
    <row r="14" spans="1:6" x14ac:dyDescent="0.2">
      <c r="A14" s="32" t="s">
        <v>59</v>
      </c>
      <c r="B14" s="31">
        <v>1.6</v>
      </c>
      <c r="D14" s="139" t="s">
        <v>61</v>
      </c>
      <c r="E14" s="35" t="s">
        <v>62</v>
      </c>
      <c r="F14" s="36" t="s">
        <v>63</v>
      </c>
    </row>
    <row r="15" spans="1:6" x14ac:dyDescent="0.2">
      <c r="A15" s="33" t="s">
        <v>60</v>
      </c>
      <c r="B15" s="34">
        <v>17000</v>
      </c>
      <c r="D15" s="140">
        <v>0.1</v>
      </c>
      <c r="E15" s="38">
        <v>1100</v>
      </c>
      <c r="F15" s="39">
        <v>2</v>
      </c>
    </row>
    <row r="16" spans="1:6" x14ac:dyDescent="0.2">
      <c r="A16" s="33" t="s">
        <v>64</v>
      </c>
      <c r="B16" s="37">
        <v>1.2</v>
      </c>
      <c r="D16" s="140">
        <v>1.1000000000000001</v>
      </c>
      <c r="E16" s="38">
        <v>1220</v>
      </c>
      <c r="F16" s="39">
        <f>+F15</f>
        <v>2</v>
      </c>
    </row>
    <row r="17" spans="1:9" x14ac:dyDescent="0.2">
      <c r="A17" s="33" t="s">
        <v>65</v>
      </c>
      <c r="B17" s="37">
        <v>0.1</v>
      </c>
      <c r="D17" s="140">
        <v>1.5</v>
      </c>
      <c r="E17" s="38">
        <v>1570</v>
      </c>
      <c r="F17" s="39">
        <f>+F16</f>
        <v>2</v>
      </c>
    </row>
    <row r="18" spans="1:9" x14ac:dyDescent="0.2">
      <c r="A18" s="33" t="s">
        <v>66</v>
      </c>
      <c r="B18" s="37">
        <v>3.2</v>
      </c>
      <c r="D18" s="140">
        <v>2.2000000000000002</v>
      </c>
      <c r="E18" s="38">
        <v>1800</v>
      </c>
      <c r="F18" s="39">
        <f>+F16*(1-12.5%)</f>
        <v>1.75</v>
      </c>
    </row>
    <row r="19" spans="1:9" ht="15" thickBot="1" x14ac:dyDescent="0.25">
      <c r="A19" s="33" t="s">
        <v>67</v>
      </c>
      <c r="B19" s="34">
        <v>40000</v>
      </c>
      <c r="D19" s="141">
        <v>3.2</v>
      </c>
      <c r="E19" s="41">
        <v>2100</v>
      </c>
      <c r="F19" s="42">
        <f>+F15*75%</f>
        <v>1.5</v>
      </c>
    </row>
    <row r="20" spans="1:9" x14ac:dyDescent="0.2">
      <c r="A20" s="33" t="s">
        <v>68</v>
      </c>
      <c r="B20" s="40">
        <v>0.3</v>
      </c>
    </row>
    <row r="21" spans="1:9" x14ac:dyDescent="0.2">
      <c r="A21" s="43" t="s">
        <v>69</v>
      </c>
      <c r="B21" s="44">
        <f>1-B20</f>
        <v>0.7</v>
      </c>
    </row>
    <row r="22" spans="1:9" ht="15" x14ac:dyDescent="0.25">
      <c r="A22" s="142" t="s">
        <v>110</v>
      </c>
      <c r="B22" s="38"/>
      <c r="C22" s="38"/>
      <c r="G22" s="38"/>
      <c r="H22" s="38"/>
      <c r="I22" s="38"/>
    </row>
    <row r="23" spans="1:9" x14ac:dyDescent="0.2">
      <c r="A23" s="48" t="s">
        <v>71</v>
      </c>
      <c r="B23" s="49">
        <v>20</v>
      </c>
      <c r="I23" s="38"/>
    </row>
    <row r="24" spans="1:9" x14ac:dyDescent="0.2">
      <c r="A24" s="48" t="s">
        <v>73</v>
      </c>
      <c r="B24" s="55">
        <f>495+308+1822+14+71+40+265+3875+641</f>
        <v>7531</v>
      </c>
      <c r="H24" s="55"/>
      <c r="I24" s="38"/>
    </row>
    <row r="25" spans="1:9" x14ac:dyDescent="0.2">
      <c r="A25" s="48" t="s">
        <v>75</v>
      </c>
      <c r="B25" s="55">
        <f>82.5+1000+90+11*250</f>
        <v>3922.5</v>
      </c>
      <c r="H25" s="55"/>
      <c r="I25" s="38"/>
    </row>
    <row r="26" spans="1:9" x14ac:dyDescent="0.2">
      <c r="A26" s="60" t="s">
        <v>77</v>
      </c>
      <c r="B26" s="60" t="s">
        <v>63</v>
      </c>
      <c r="C26" s="60" t="s">
        <v>78</v>
      </c>
      <c r="D26" s="60" t="s">
        <v>79</v>
      </c>
      <c r="E26" s="60" t="s">
        <v>80</v>
      </c>
      <c r="F26" s="60" t="s">
        <v>62</v>
      </c>
      <c r="G26" s="60" t="s">
        <v>98</v>
      </c>
      <c r="H26" s="60" t="s">
        <v>99</v>
      </c>
      <c r="I26" s="38"/>
    </row>
    <row r="27" spans="1:9" x14ac:dyDescent="0.2">
      <c r="A27" s="61"/>
      <c r="B27" s="61" t="s">
        <v>82</v>
      </c>
      <c r="C27" s="62" t="s">
        <v>83</v>
      </c>
      <c r="D27" s="62" t="s">
        <v>83</v>
      </c>
      <c r="E27" s="63" t="s">
        <v>84</v>
      </c>
      <c r="F27" s="62" t="s">
        <v>94</v>
      </c>
      <c r="G27" s="62" t="s">
        <v>100</v>
      </c>
      <c r="H27" s="63" t="s">
        <v>84</v>
      </c>
      <c r="I27" s="38"/>
    </row>
    <row r="28" spans="1:9" x14ac:dyDescent="0.2">
      <c r="A28" s="56">
        <v>3.2</v>
      </c>
      <c r="B28" s="67">
        <f>VLOOKUP(A28,מליחות,3,0)</f>
        <v>1.5</v>
      </c>
      <c r="C28" s="68">
        <f>+B28*$B$23*1000</f>
        <v>30000</v>
      </c>
      <c r="D28" s="68">
        <f>(+$B$24+$B$25*B28+H28)*1.055</f>
        <v>16811.161249999997</v>
      </c>
      <c r="E28" s="69">
        <f>+C28-D28</f>
        <v>13188.838750000003</v>
      </c>
      <c r="F28" s="78">
        <f>VLOOKUP(A28,מליחות,2,0)</f>
        <v>2100</v>
      </c>
      <c r="G28" s="56">
        <v>1.2</v>
      </c>
      <c r="H28" s="78">
        <f>+G28*F28</f>
        <v>2520</v>
      </c>
      <c r="I28" s="38"/>
    </row>
    <row r="29" spans="1:9" x14ac:dyDescent="0.2">
      <c r="A29" s="56">
        <v>2.2000000000000002</v>
      </c>
      <c r="B29" s="67">
        <f>VLOOKUP(A29,מליחות,3,0)</f>
        <v>1.75</v>
      </c>
      <c r="C29" s="68">
        <f>+B29*$B$23*1000</f>
        <v>35000</v>
      </c>
      <c r="D29" s="68">
        <f>(+$B$24+$B$25*B29+H29)*1.055</f>
        <v>18952.510001996805</v>
      </c>
      <c r="E29" s="69">
        <f>+C29-D29</f>
        <v>16047.489998003195</v>
      </c>
      <c r="F29" s="78">
        <f>VLOOKUP(A29,מליחות,2,0)</f>
        <v>1800</v>
      </c>
      <c r="G29" s="112">
        <f>HLOOKUP(A29,מחיר_מים,5,0)</f>
        <v>1.9828274760383384</v>
      </c>
      <c r="H29" s="78">
        <f>+G29*F29</f>
        <v>3569.0894568690092</v>
      </c>
      <c r="I29" s="38"/>
    </row>
    <row r="30" spans="1:9" x14ac:dyDescent="0.2">
      <c r="A30" s="56">
        <v>1.5</v>
      </c>
      <c r="B30" s="67">
        <f>VLOOKUP(A30,מליחות,3,0)</f>
        <v>2</v>
      </c>
      <c r="C30" s="68">
        <f>+B30*$B$23*1000</f>
        <v>40000</v>
      </c>
      <c r="D30" s="68">
        <f>(+$B$24+$B$25*B30+H30)*1.055</f>
        <v>19920.817567891372</v>
      </c>
      <c r="E30" s="69">
        <f>+C30-D30</f>
        <v>20079.182432108628</v>
      </c>
      <c r="F30" s="78">
        <f>VLOOKUP(A30,מליחות,2,0)</f>
        <v>1570</v>
      </c>
      <c r="G30" s="112">
        <f>HLOOKUP(A30,מחיר_מים,5,0)</f>
        <v>2.2333067092651757</v>
      </c>
      <c r="H30" s="78">
        <f>+G30*F30</f>
        <v>3506.2915335463258</v>
      </c>
      <c r="I30" s="38"/>
    </row>
    <row r="31" spans="1:9" x14ac:dyDescent="0.2">
      <c r="A31" s="79">
        <v>1.1000000000000001</v>
      </c>
      <c r="B31" s="80">
        <f>VLOOKUP(A31,מליחות,3,0)</f>
        <v>2</v>
      </c>
      <c r="C31" s="81">
        <f>+B31*$B$23*1000</f>
        <v>40000</v>
      </c>
      <c r="D31" s="81">
        <f>(+$B$24+$B$25*B31+H31)*1.055</f>
        <v>19280.392963258782</v>
      </c>
      <c r="E31" s="82">
        <f>+C31-D31</f>
        <v>20719.607036741218</v>
      </c>
      <c r="F31" s="113">
        <f>VLOOKUP(A31,מליחות,2,0)</f>
        <v>1220</v>
      </c>
      <c r="G31" s="114">
        <f>HLOOKUP(A31,מחיר_מים,5,0)</f>
        <v>2.376437699680511</v>
      </c>
      <c r="H31" s="113">
        <f>+G31*F31</f>
        <v>2899.2539936102235</v>
      </c>
      <c r="I31" s="38"/>
    </row>
    <row r="32" spans="1:9" x14ac:dyDescent="0.2">
      <c r="A32" s="38"/>
      <c r="B32" s="115"/>
      <c r="C32" s="146"/>
      <c r="D32" s="146"/>
      <c r="E32" s="146"/>
      <c r="F32" s="147"/>
      <c r="G32" s="148"/>
      <c r="H32" s="147"/>
      <c r="I32" s="38"/>
    </row>
    <row r="33" spans="1:18" ht="15" x14ac:dyDescent="0.25">
      <c r="A33" s="149" t="s">
        <v>111</v>
      </c>
      <c r="E33" s="47" t="s">
        <v>70</v>
      </c>
    </row>
    <row r="34" spans="1:18" x14ac:dyDescent="0.2">
      <c r="A34" s="50" t="s">
        <v>72</v>
      </c>
      <c r="B34" s="51">
        <v>1.1000000000000001</v>
      </c>
      <c r="C34" s="52">
        <v>1.5</v>
      </c>
      <c r="D34" s="53">
        <v>2.2000000000000002</v>
      </c>
      <c r="E34" s="54">
        <v>3.2</v>
      </c>
    </row>
    <row r="35" spans="1:18" x14ac:dyDescent="0.2">
      <c r="A35" s="56" t="s">
        <v>74</v>
      </c>
      <c r="B35" s="57">
        <f>$B$19*($B$18-B34)/($B$18-$B$21*$B$17)</f>
        <v>26837.060702875395</v>
      </c>
      <c r="C35" s="22">
        <f>$B$19*($B$18-C34)/($B$18-$B$21*$B$17)</f>
        <v>21725.239616613417</v>
      </c>
      <c r="D35" s="58">
        <f>$B$19*($B$18-D34)/($B$18-$B$21*$B$17)</f>
        <v>12779.552715654951</v>
      </c>
      <c r="E35" s="59"/>
    </row>
    <row r="36" spans="1:18" x14ac:dyDescent="0.2">
      <c r="A36" s="56" t="s">
        <v>76</v>
      </c>
      <c r="B36" s="57">
        <f>+B35*$B$21</f>
        <v>18785.942492012775</v>
      </c>
      <c r="C36" s="22">
        <f>+C35*$B$21</f>
        <v>15207.66773162939</v>
      </c>
      <c r="D36" s="58">
        <f>+D35*$B$21</f>
        <v>8945.6869009584643</v>
      </c>
      <c r="E36" s="59"/>
    </row>
    <row r="37" spans="1:18" x14ac:dyDescent="0.2">
      <c r="A37" s="56" t="s">
        <v>81</v>
      </c>
      <c r="B37" s="57">
        <f>+B36*$B$14+$B$15+$B$19*$B$16</f>
        <v>95057.507987220437</v>
      </c>
      <c r="C37" s="22">
        <f>+C36*$B$14+$B$15+$B$19*$B$16</f>
        <v>89332.268370607024</v>
      </c>
      <c r="D37" s="58">
        <f>+D36*$B$14+$B$15+$B$19*$B$16</f>
        <v>79313.09904153354</v>
      </c>
      <c r="E37" s="59"/>
    </row>
    <row r="38" spans="1:18" x14ac:dyDescent="0.2">
      <c r="A38" s="56" t="s">
        <v>85</v>
      </c>
      <c r="B38" s="64">
        <f>+B37/$B$19</f>
        <v>2.376437699680511</v>
      </c>
      <c r="C38" s="65">
        <f t="shared" ref="C38:D38" si="1">+C37/$B$19</f>
        <v>2.2333067092651757</v>
      </c>
      <c r="D38" s="66">
        <f t="shared" si="1"/>
        <v>1.9828274760383384</v>
      </c>
      <c r="E38" s="59">
        <f>+B16</f>
        <v>1.2</v>
      </c>
    </row>
    <row r="39" spans="1:18" x14ac:dyDescent="0.2">
      <c r="A39" s="56" t="s">
        <v>86</v>
      </c>
      <c r="B39" s="70">
        <f>VLOOKUP(B34,מליחות,2,0)</f>
        <v>1220</v>
      </c>
      <c r="C39" s="71">
        <f>VLOOKUP(C34,מליחות,2,0)</f>
        <v>1570</v>
      </c>
      <c r="D39" s="72">
        <f>VLOOKUP(D34,מליחות,2,0)</f>
        <v>1800</v>
      </c>
      <c r="E39" s="73">
        <f>+F28</f>
        <v>2100</v>
      </c>
    </row>
    <row r="40" spans="1:18" x14ac:dyDescent="0.2">
      <c r="A40" s="56" t="s">
        <v>87</v>
      </c>
      <c r="B40" s="74">
        <f>+$B$19/B39</f>
        <v>32.786885245901637</v>
      </c>
      <c r="C40" s="75">
        <f t="shared" ref="C40:D40" si="2">+$B$19/C39</f>
        <v>25.477707006369428</v>
      </c>
      <c r="D40" s="76">
        <f t="shared" si="2"/>
        <v>22.222222222222221</v>
      </c>
      <c r="E40" s="77">
        <f>+$B$19/E39</f>
        <v>19.047619047619047</v>
      </c>
    </row>
    <row r="41" spans="1:18" x14ac:dyDescent="0.2">
      <c r="A41" s="56" t="s">
        <v>88</v>
      </c>
      <c r="B41" s="57">
        <f>VLOOKUP(B34,יתרה_לדונם,5,0)</f>
        <v>20719.607036741218</v>
      </c>
      <c r="C41" s="22">
        <f>VLOOKUP(C34,יתרה_לדונם,5,0)</f>
        <v>20079.182432108628</v>
      </c>
      <c r="D41" s="58">
        <f>VLOOKUP(D34,יתרה_לדונם,5,0)</f>
        <v>16047.489998003195</v>
      </c>
      <c r="E41" s="78">
        <f>VLOOKUP(E34,יתרה_לדונם,5,0)</f>
        <v>13188.838750000003</v>
      </c>
    </row>
    <row r="42" spans="1:18" x14ac:dyDescent="0.2">
      <c r="A42" s="56" t="s">
        <v>49</v>
      </c>
      <c r="B42" s="57">
        <v>5100</v>
      </c>
      <c r="C42" s="22">
        <f>+B42</f>
        <v>5100</v>
      </c>
      <c r="D42" s="58">
        <f>+C42</f>
        <v>5100</v>
      </c>
      <c r="E42" s="78">
        <v>6500</v>
      </c>
    </row>
    <row r="43" spans="1:18" x14ac:dyDescent="0.2">
      <c r="A43" s="56" t="s">
        <v>89</v>
      </c>
      <c r="B43" s="57">
        <f>+B41-B42</f>
        <v>15619.607036741218</v>
      </c>
      <c r="C43" s="22">
        <f t="shared" ref="C43:E43" si="3">+C41-C42</f>
        <v>14979.182432108628</v>
      </c>
      <c r="D43" s="58">
        <f t="shared" si="3"/>
        <v>10947.489998003195</v>
      </c>
      <c r="E43" s="78">
        <f t="shared" si="3"/>
        <v>6688.8387500000026</v>
      </c>
    </row>
    <row r="44" spans="1:18" x14ac:dyDescent="0.2">
      <c r="A44" s="79" t="s">
        <v>90</v>
      </c>
      <c r="B44" s="83">
        <f>+B43*B40</f>
        <v>512118.26349971199</v>
      </c>
      <c r="C44" s="84">
        <f>+C43*C40</f>
        <v>381635.22120021982</v>
      </c>
      <c r="D44" s="85">
        <f>+D43*D40</f>
        <v>243277.55551118212</v>
      </c>
      <c r="E44" s="86">
        <f>+E43*E40</f>
        <v>127406.45238095243</v>
      </c>
      <c r="R44" s="115"/>
    </row>
    <row r="45" spans="1:18" x14ac:dyDescent="0.2">
      <c r="A45" s="46"/>
      <c r="B45" s="87"/>
      <c r="C45" s="87"/>
      <c r="D45" s="87"/>
      <c r="E45" s="87"/>
      <c r="R45" s="38"/>
    </row>
    <row r="46" spans="1:18" hidden="1" x14ac:dyDescent="0.2">
      <c r="A46" s="46"/>
      <c r="B46" s="88" t="s">
        <v>91</v>
      </c>
      <c r="C46" s="88"/>
      <c r="D46" s="88"/>
      <c r="E46" s="88"/>
      <c r="R46" s="38"/>
    </row>
    <row r="47" spans="1:18" hidden="1" x14ac:dyDescent="0.2">
      <c r="A47" s="46"/>
      <c r="B47" s="89" t="s">
        <v>92</v>
      </c>
      <c r="C47" s="46"/>
      <c r="D47" s="46"/>
      <c r="E47" s="46"/>
      <c r="R47" s="38"/>
    </row>
    <row r="48" spans="1:18" hidden="1" x14ac:dyDescent="0.2">
      <c r="A48" s="46"/>
      <c r="C48" s="90" t="s">
        <v>93</v>
      </c>
      <c r="D48" s="90"/>
      <c r="E48" s="90"/>
      <c r="R48" s="38"/>
    </row>
    <row r="49" spans="1:18" hidden="1" x14ac:dyDescent="0.2">
      <c r="A49" s="46"/>
      <c r="B49" s="91">
        <f>+B44</f>
        <v>512118.26349971199</v>
      </c>
      <c r="C49" s="92">
        <v>1.5</v>
      </c>
      <c r="D49" s="93">
        <v>1.75</v>
      </c>
      <c r="E49" s="94">
        <v>2</v>
      </c>
      <c r="F49" s="95">
        <v>2.25</v>
      </c>
      <c r="R49" s="38"/>
    </row>
    <row r="50" spans="1:18" hidden="1" x14ac:dyDescent="0.2">
      <c r="A50" s="46"/>
      <c r="B50" s="96">
        <v>1.2</v>
      </c>
      <c r="C50" s="97">
        <f t="dataTable" ref="C50:F54" dt2D="1" dtr="1" r1="F16" r2="B14"/>
        <v>512118.26349971199</v>
      </c>
      <c r="D50" s="98">
        <v>512118.26349971199</v>
      </c>
      <c r="E50" s="98">
        <v>512118.26349971199</v>
      </c>
      <c r="F50" s="99">
        <v>512118.26349971199</v>
      </c>
    </row>
    <row r="51" spans="1:18" hidden="1" x14ac:dyDescent="0.2">
      <c r="A51" s="100" t="s">
        <v>13</v>
      </c>
      <c r="B51" s="101">
        <v>1.4</v>
      </c>
      <c r="C51" s="102">
        <v>512118.26349971199</v>
      </c>
      <c r="D51" s="88">
        <v>512118.26349971199</v>
      </c>
      <c r="E51" s="88">
        <v>512118.26349971199</v>
      </c>
      <c r="F51" s="103">
        <v>512118.26349971199</v>
      </c>
    </row>
    <row r="52" spans="1:18" hidden="1" x14ac:dyDescent="0.2">
      <c r="A52" s="100" t="s">
        <v>94</v>
      </c>
      <c r="B52" s="104">
        <v>1.6</v>
      </c>
      <c r="C52" s="102">
        <v>512118.26349971199</v>
      </c>
      <c r="D52" s="88">
        <v>512118.26349971199</v>
      </c>
      <c r="E52" s="88">
        <v>512118.26349971199</v>
      </c>
      <c r="F52" s="103">
        <v>512118.26349971199</v>
      </c>
    </row>
    <row r="53" spans="1:18" hidden="1" x14ac:dyDescent="0.2">
      <c r="A53" s="105" t="s">
        <v>95</v>
      </c>
      <c r="B53" s="106">
        <v>1.8</v>
      </c>
      <c r="C53" s="102">
        <v>512118.26349971199</v>
      </c>
      <c r="D53" s="88">
        <v>512118.26349971199</v>
      </c>
      <c r="E53" s="88">
        <v>512118.26349971199</v>
      </c>
      <c r="F53" s="103">
        <v>512118.26349971199</v>
      </c>
    </row>
    <row r="54" spans="1:18" hidden="1" x14ac:dyDescent="0.2">
      <c r="A54" s="107" t="s">
        <v>96</v>
      </c>
      <c r="B54" s="108">
        <v>2</v>
      </c>
      <c r="C54" s="109">
        <v>512118.26349971199</v>
      </c>
      <c r="D54" s="110">
        <v>512118.26349971199</v>
      </c>
      <c r="E54" s="110">
        <v>512118.26349971199</v>
      </c>
      <c r="F54" s="111">
        <v>512118.26349971199</v>
      </c>
    </row>
    <row r="55" spans="1:18" hidden="1" x14ac:dyDescent="0.2"/>
    <row r="56" spans="1:18" hidden="1" x14ac:dyDescent="0.2">
      <c r="A56" s="46"/>
      <c r="B56" s="88" t="s">
        <v>91</v>
      </c>
      <c r="C56" s="88"/>
      <c r="D56" s="88"/>
      <c r="E56" s="88"/>
    </row>
    <row r="57" spans="1:18" hidden="1" x14ac:dyDescent="0.2">
      <c r="A57" s="46"/>
      <c r="B57" s="89" t="s">
        <v>101</v>
      </c>
      <c r="C57" s="46"/>
      <c r="D57" s="46"/>
      <c r="E57" s="46"/>
    </row>
    <row r="58" spans="1:18" hidden="1" x14ac:dyDescent="0.2">
      <c r="A58" s="46"/>
      <c r="C58" s="90" t="s">
        <v>93</v>
      </c>
      <c r="D58" s="90"/>
      <c r="E58" s="90"/>
    </row>
    <row r="59" spans="1:18" hidden="1" x14ac:dyDescent="0.2">
      <c r="A59" s="46"/>
      <c r="B59" s="91">
        <f>+B44</f>
        <v>512118.26349971199</v>
      </c>
      <c r="C59" s="92">
        <v>1.5</v>
      </c>
      <c r="D59" s="93">
        <v>1.75</v>
      </c>
      <c r="E59" s="94">
        <v>2</v>
      </c>
      <c r="F59" s="95">
        <v>2.25</v>
      </c>
    </row>
    <row r="60" spans="1:18" hidden="1" x14ac:dyDescent="0.2">
      <c r="A60" s="46"/>
      <c r="B60" s="116">
        <v>7</v>
      </c>
      <c r="C60" s="117">
        <f t="dataTable" ref="C60:F64" dt2D="1" dtr="1" r1="F16" r2="B23"/>
        <v>512118.26349971199</v>
      </c>
      <c r="D60" s="118">
        <v>512118.26349971199</v>
      </c>
      <c r="E60" s="118">
        <v>512118.26349971199</v>
      </c>
      <c r="F60" s="119">
        <v>512118.26349971199</v>
      </c>
    </row>
    <row r="61" spans="1:18" hidden="1" x14ac:dyDescent="0.2">
      <c r="A61" s="100" t="s">
        <v>12</v>
      </c>
      <c r="B61" s="120">
        <v>10</v>
      </c>
      <c r="C61" s="121">
        <v>512118.26349971199</v>
      </c>
      <c r="D61" s="122">
        <v>512118.26349971199</v>
      </c>
      <c r="E61" s="122">
        <v>512118.26349971199</v>
      </c>
      <c r="F61" s="123">
        <v>512118.26349971199</v>
      </c>
    </row>
    <row r="62" spans="1:18" hidden="1" x14ac:dyDescent="0.2">
      <c r="A62" s="100" t="s">
        <v>102</v>
      </c>
      <c r="B62" s="124">
        <v>15</v>
      </c>
      <c r="C62" s="121">
        <v>512118.26349971199</v>
      </c>
      <c r="D62" s="122">
        <v>512118.26349971199</v>
      </c>
      <c r="E62" s="122">
        <v>512118.26349971199</v>
      </c>
      <c r="F62" s="123">
        <v>512118.26349971199</v>
      </c>
    </row>
    <row r="63" spans="1:18" hidden="1" x14ac:dyDescent="0.2">
      <c r="A63" s="105" t="s">
        <v>103</v>
      </c>
      <c r="B63" s="125">
        <v>20</v>
      </c>
      <c r="C63" s="121">
        <v>512118.26349971199</v>
      </c>
      <c r="D63" s="122">
        <v>512118.26349971199</v>
      </c>
      <c r="E63" s="122">
        <v>512118.26349971199</v>
      </c>
      <c r="F63" s="123">
        <v>512118.26349971199</v>
      </c>
    </row>
    <row r="64" spans="1:18" hidden="1" x14ac:dyDescent="0.2">
      <c r="A64" s="107" t="s">
        <v>104</v>
      </c>
      <c r="B64" s="126">
        <v>25</v>
      </c>
      <c r="C64" s="127">
        <v>512118.26349971199</v>
      </c>
      <c r="D64" s="128">
        <v>512118.26349971199</v>
      </c>
      <c r="E64" s="128">
        <v>512118.26349971199</v>
      </c>
      <c r="F64" s="129">
        <v>512118.26349971199</v>
      </c>
    </row>
    <row r="65" spans="1:6" hidden="1" x14ac:dyDescent="0.2"/>
    <row r="66" spans="1:6" hidden="1" x14ac:dyDescent="0.2">
      <c r="A66" s="46"/>
      <c r="B66" s="89" t="s">
        <v>105</v>
      </c>
      <c r="C66" s="46"/>
      <c r="D66" s="46"/>
      <c r="E66" s="46"/>
    </row>
    <row r="67" spans="1:6" hidden="1" x14ac:dyDescent="0.2">
      <c r="A67" s="46"/>
      <c r="C67" s="90" t="s">
        <v>106</v>
      </c>
      <c r="D67" s="90"/>
      <c r="E67" s="90"/>
    </row>
    <row r="68" spans="1:6" hidden="1" x14ac:dyDescent="0.2">
      <c r="A68" s="46"/>
      <c r="B68" s="91">
        <f>+B44</f>
        <v>512118.26349971199</v>
      </c>
      <c r="C68" s="130">
        <v>7</v>
      </c>
      <c r="D68" s="131">
        <v>10</v>
      </c>
      <c r="E68" s="131">
        <v>15</v>
      </c>
      <c r="F68" s="132">
        <v>20</v>
      </c>
    </row>
    <row r="69" spans="1:6" hidden="1" x14ac:dyDescent="0.2">
      <c r="A69" s="46"/>
      <c r="B69" s="96">
        <v>1.2</v>
      </c>
      <c r="C69" s="97">
        <f t="dataTable" ref="C69:F73" dt2D="1" dtr="1" r1="B23" r2="B14"/>
        <v>512118.26349971199</v>
      </c>
      <c r="D69" s="98">
        <v>512118.26349971199</v>
      </c>
      <c r="E69" s="98">
        <v>512118.26349971199</v>
      </c>
      <c r="F69" s="99">
        <v>512118.26349971199</v>
      </c>
    </row>
    <row r="70" spans="1:6" hidden="1" x14ac:dyDescent="0.2">
      <c r="A70" s="100" t="s">
        <v>13</v>
      </c>
      <c r="B70" s="101">
        <v>1.4</v>
      </c>
      <c r="C70" s="102">
        <v>512118.26349971199</v>
      </c>
      <c r="D70" s="88">
        <v>512118.26349971199</v>
      </c>
      <c r="E70" s="88">
        <v>512118.26349971199</v>
      </c>
      <c r="F70" s="103">
        <v>512118.26349971199</v>
      </c>
    </row>
    <row r="71" spans="1:6" hidden="1" x14ac:dyDescent="0.2">
      <c r="A71" s="100" t="s">
        <v>94</v>
      </c>
      <c r="B71" s="104">
        <v>1.6</v>
      </c>
      <c r="C71" s="102">
        <v>512118.26349971199</v>
      </c>
      <c r="D71" s="88">
        <v>512118.26349971199</v>
      </c>
      <c r="E71" s="88">
        <v>512118.26349971199</v>
      </c>
      <c r="F71" s="103">
        <v>512118.26349971199</v>
      </c>
    </row>
    <row r="72" spans="1:6" hidden="1" x14ac:dyDescent="0.2">
      <c r="A72" s="105" t="s">
        <v>95</v>
      </c>
      <c r="B72" s="106">
        <v>1.8</v>
      </c>
      <c r="C72" s="102">
        <v>512118.26349971199</v>
      </c>
      <c r="D72" s="88">
        <v>512118.26349971199</v>
      </c>
      <c r="E72" s="88">
        <v>512118.26349971199</v>
      </c>
      <c r="F72" s="103">
        <v>512118.26349971199</v>
      </c>
    </row>
    <row r="73" spans="1:6" hidden="1" x14ac:dyDescent="0.2">
      <c r="A73" s="107" t="s">
        <v>96</v>
      </c>
      <c r="B73" s="108">
        <v>4</v>
      </c>
      <c r="C73" s="109">
        <v>512118.26349971199</v>
      </c>
      <c r="D73" s="110">
        <v>512118.26349971199</v>
      </c>
      <c r="E73" s="110">
        <v>512118.26349971199</v>
      </c>
      <c r="F73" s="111">
        <v>512118.26349971199</v>
      </c>
    </row>
    <row r="74" spans="1:6" hidden="1" x14ac:dyDescent="0.2"/>
    <row r="75" spans="1:6" hidden="1" x14ac:dyDescent="0.2"/>
    <row r="76" spans="1:6" hidden="1" x14ac:dyDescent="0.2"/>
    <row r="77" spans="1:6" hidden="1" x14ac:dyDescent="0.2"/>
    <row r="78" spans="1:6" hidden="1" x14ac:dyDescent="0.2"/>
    <row r="79" spans="1:6" hidden="1" x14ac:dyDescent="0.2"/>
    <row r="80" spans="1:6" hidden="1" x14ac:dyDescent="0.2">
      <c r="A80" t="s">
        <v>107</v>
      </c>
    </row>
    <row r="81" spans="1:6" hidden="1" x14ac:dyDescent="0.2">
      <c r="A81" s="46"/>
      <c r="E81" s="47" t="s">
        <v>70</v>
      </c>
    </row>
    <row r="82" spans="1:6" hidden="1" x14ac:dyDescent="0.2">
      <c r="A82" s="18" t="s">
        <v>72</v>
      </c>
      <c r="B82" s="52">
        <v>1.1000000000000001</v>
      </c>
      <c r="C82" s="52">
        <v>1.5</v>
      </c>
      <c r="D82" s="52">
        <v>2.2000000000000002</v>
      </c>
      <c r="E82" s="133">
        <v>3.2</v>
      </c>
    </row>
    <row r="83" spans="1:6" hidden="1" x14ac:dyDescent="0.2">
      <c r="A83" s="21" t="s">
        <v>74</v>
      </c>
      <c r="B83" s="22">
        <f>$B$19*($B$18-B82)/($B$18-$B$21*$B$17)</f>
        <v>26837.060702875395</v>
      </c>
      <c r="C83" s="22">
        <f>$B$19*($B$18-C82)/($B$18-$B$21*$B$17)</f>
        <v>21725.239616613417</v>
      </c>
      <c r="D83" s="22">
        <f>$B$19*($B$18-D82)/($B$18-$B$21*$B$17)</f>
        <v>12779.552715654951</v>
      </c>
      <c r="E83" s="134"/>
    </row>
    <row r="84" spans="1:6" hidden="1" x14ac:dyDescent="0.2">
      <c r="A84" s="21" t="s">
        <v>76</v>
      </c>
      <c r="B84" s="22">
        <f>+B83*$B$21</f>
        <v>18785.942492012775</v>
      </c>
      <c r="C84" s="22">
        <f>+C83*$B$21</f>
        <v>15207.66773162939</v>
      </c>
      <c r="D84" s="22">
        <f>+D83*$B$21</f>
        <v>8945.6869009584643</v>
      </c>
      <c r="E84" s="134"/>
    </row>
    <row r="85" spans="1:6" hidden="1" x14ac:dyDescent="0.2">
      <c r="A85" s="21" t="s">
        <v>81</v>
      </c>
      <c r="B85" s="22">
        <f>+B84*$B$14+$B$15+$B$19*$B$16</f>
        <v>95057.507987220437</v>
      </c>
      <c r="C85" s="22">
        <f>+C84*$B$14+$B$15+$B$19*$B$16</f>
        <v>89332.268370607024</v>
      </c>
      <c r="D85" s="22">
        <f>+D84*$B$14+$B$15+$B$19*$B$16</f>
        <v>79313.09904153354</v>
      </c>
      <c r="E85" s="134"/>
    </row>
    <row r="86" spans="1:6" hidden="1" x14ac:dyDescent="0.2">
      <c r="A86" s="21" t="s">
        <v>85</v>
      </c>
      <c r="B86" s="65">
        <f>+B85/$B$19</f>
        <v>2.376437699680511</v>
      </c>
      <c r="C86" s="65">
        <f t="shared" ref="C86:D86" si="4">+C85/$B$19</f>
        <v>2.2333067092651757</v>
      </c>
      <c r="D86" s="65">
        <f t="shared" si="4"/>
        <v>1.9828274760383384</v>
      </c>
      <c r="E86" s="134">
        <f>+B16</f>
        <v>1.2</v>
      </c>
    </row>
    <row r="87" spans="1:6" hidden="1" x14ac:dyDescent="0.2">
      <c r="A87" s="21" t="s">
        <v>86</v>
      </c>
      <c r="B87" s="71">
        <f>VLOOKUP(B82,מליחות,2,0)</f>
        <v>1220</v>
      </c>
      <c r="C87" s="71">
        <f>VLOOKUP(C82,מליחות,2,0)</f>
        <v>1570</v>
      </c>
      <c r="D87" s="71">
        <f>VLOOKUP(D82,מליחות,2,0)</f>
        <v>1800</v>
      </c>
      <c r="E87" s="135">
        <f>+F28</f>
        <v>2100</v>
      </c>
    </row>
    <row r="88" spans="1:6" hidden="1" x14ac:dyDescent="0.2">
      <c r="A88" s="21" t="s">
        <v>87</v>
      </c>
      <c r="B88" s="75">
        <f>+$B$19/B87</f>
        <v>32.786885245901637</v>
      </c>
      <c r="C88" s="75">
        <f t="shared" ref="C88:D88" si="5">+$B$19/C87</f>
        <v>25.477707006369428</v>
      </c>
      <c r="D88" s="75">
        <f t="shared" si="5"/>
        <v>22.222222222222221</v>
      </c>
      <c r="E88" s="136">
        <f>+$B$19/E87</f>
        <v>19.047619047619047</v>
      </c>
    </row>
    <row r="89" spans="1:6" hidden="1" x14ac:dyDescent="0.2">
      <c r="A89" s="21" t="s">
        <v>88</v>
      </c>
      <c r="B89" s="22">
        <f>VLOOKUP(B82,יתרה_לדונם,5,0)</f>
        <v>20719.607036741218</v>
      </c>
      <c r="C89" s="22">
        <f>VLOOKUP(C82,יתרה_לדונם,5,0)</f>
        <v>20079.182432108628</v>
      </c>
      <c r="D89" s="22">
        <f>VLOOKUP(D82,יתרה_לדונם,5,0)</f>
        <v>16047.489998003195</v>
      </c>
      <c r="E89" s="135">
        <f>VLOOKUP(E82,יתרה_לדונם,5,0)</f>
        <v>13188.838750000003</v>
      </c>
    </row>
    <row r="90" spans="1:6" hidden="1" x14ac:dyDescent="0.2">
      <c r="A90" s="25" t="s">
        <v>90</v>
      </c>
      <c r="B90" s="137">
        <f>+B89*B88</f>
        <v>679331.37825381034</v>
      </c>
      <c r="C90" s="84">
        <f>+C89*C88</f>
        <v>511571.52693270391</v>
      </c>
      <c r="D90" s="84">
        <f>+D89*D88</f>
        <v>356610.88884451543</v>
      </c>
      <c r="E90" s="138">
        <f>+E89*E88</f>
        <v>251215.97619047624</v>
      </c>
    </row>
    <row r="91" spans="1:6" hidden="1" x14ac:dyDescent="0.2"/>
    <row r="92" spans="1:6" hidden="1" x14ac:dyDescent="0.2">
      <c r="A92" s="46"/>
      <c r="B92" s="89" t="s">
        <v>108</v>
      </c>
      <c r="C92" s="46"/>
      <c r="D92" s="46"/>
      <c r="E92" s="46"/>
    </row>
    <row r="93" spans="1:6" hidden="1" x14ac:dyDescent="0.2">
      <c r="A93" s="46"/>
      <c r="C93" s="90" t="s">
        <v>93</v>
      </c>
      <c r="D93" s="90"/>
      <c r="E93" s="90"/>
    </row>
    <row r="94" spans="1:6" hidden="1" x14ac:dyDescent="0.2">
      <c r="A94" s="46"/>
      <c r="B94" s="91">
        <f>+B90</f>
        <v>679331.37825381034</v>
      </c>
      <c r="C94" s="92">
        <v>1.5</v>
      </c>
      <c r="D94" s="93">
        <v>1.75</v>
      </c>
      <c r="E94" s="94">
        <v>2</v>
      </c>
      <c r="F94" s="95">
        <v>2.25</v>
      </c>
    </row>
    <row r="95" spans="1:6" hidden="1" x14ac:dyDescent="0.2">
      <c r="A95" s="46"/>
      <c r="B95" s="96">
        <v>1.2</v>
      </c>
      <c r="C95" s="97">
        <f t="dataTable" ref="C95:F99" dt2D="1" dtr="1" r1="F15" r2="B14"/>
        <v>679331.37825381034</v>
      </c>
      <c r="D95" s="98">
        <v>679331.37825381034</v>
      </c>
      <c r="E95" s="98">
        <v>679331.37825381034</v>
      </c>
      <c r="F95" s="99">
        <v>679331.37825381034</v>
      </c>
    </row>
    <row r="96" spans="1:6" hidden="1" x14ac:dyDescent="0.2">
      <c r="A96" s="100" t="s">
        <v>13</v>
      </c>
      <c r="B96" s="101">
        <v>1.4</v>
      </c>
      <c r="C96" s="102">
        <v>679331.37825381034</v>
      </c>
      <c r="D96" s="88">
        <v>679331.37825381034</v>
      </c>
      <c r="E96" s="88">
        <v>679331.37825381034</v>
      </c>
      <c r="F96" s="103">
        <v>679331.37825381034</v>
      </c>
    </row>
    <row r="97" spans="1:6" hidden="1" x14ac:dyDescent="0.2">
      <c r="A97" s="100" t="s">
        <v>94</v>
      </c>
      <c r="B97" s="104">
        <v>1.6</v>
      </c>
      <c r="C97" s="102">
        <v>679331.37825381034</v>
      </c>
      <c r="D97" s="88">
        <v>679331.37825381034</v>
      </c>
      <c r="E97" s="88">
        <v>679331.37825381034</v>
      </c>
      <c r="F97" s="103">
        <v>679331.37825381034</v>
      </c>
    </row>
    <row r="98" spans="1:6" hidden="1" x14ac:dyDescent="0.2">
      <c r="A98" s="105" t="s">
        <v>95</v>
      </c>
      <c r="B98" s="106">
        <v>1.8</v>
      </c>
      <c r="C98" s="102">
        <v>679331.37825381034</v>
      </c>
      <c r="D98" s="88">
        <v>679331.37825381034</v>
      </c>
      <c r="E98" s="88">
        <v>679331.37825381034</v>
      </c>
      <c r="F98" s="103">
        <v>679331.37825381034</v>
      </c>
    </row>
    <row r="99" spans="1:6" hidden="1" x14ac:dyDescent="0.2">
      <c r="A99" s="107" t="s">
        <v>96</v>
      </c>
      <c r="B99" s="108">
        <v>2</v>
      </c>
      <c r="C99" s="109">
        <v>679331.37825381034</v>
      </c>
      <c r="D99" s="110">
        <v>679331.37825381034</v>
      </c>
      <c r="E99" s="110">
        <v>679331.37825381034</v>
      </c>
      <c r="F99" s="111">
        <v>679331.37825381034</v>
      </c>
    </row>
    <row r="100" spans="1:6" hidden="1" x14ac:dyDescent="0.2"/>
    <row r="101" spans="1:6" hidden="1" x14ac:dyDescent="0.2">
      <c r="A101" s="46"/>
      <c r="B101" s="88" t="s">
        <v>91</v>
      </c>
      <c r="C101" s="88"/>
      <c r="D101" s="88"/>
      <c r="E101" s="88"/>
    </row>
    <row r="102" spans="1:6" hidden="1" x14ac:dyDescent="0.2">
      <c r="A102" s="46"/>
      <c r="B102" s="89" t="s">
        <v>101</v>
      </c>
      <c r="C102" s="46"/>
      <c r="D102" s="46"/>
      <c r="E102" s="46"/>
    </row>
    <row r="103" spans="1:6" hidden="1" x14ac:dyDescent="0.2">
      <c r="A103" s="46"/>
      <c r="C103" s="90" t="s">
        <v>93</v>
      </c>
      <c r="D103" s="90"/>
      <c r="E103" s="90"/>
    </row>
    <row r="104" spans="1:6" hidden="1" x14ac:dyDescent="0.2">
      <c r="A104" s="46"/>
      <c r="B104" s="91">
        <f>+B90</f>
        <v>679331.37825381034</v>
      </c>
      <c r="C104" s="92">
        <v>1.5</v>
      </c>
      <c r="D104" s="93">
        <v>1.75</v>
      </c>
      <c r="E104" s="94">
        <v>2</v>
      </c>
      <c r="F104" s="95">
        <v>2.25</v>
      </c>
    </row>
    <row r="105" spans="1:6" hidden="1" x14ac:dyDescent="0.2">
      <c r="A105" s="46"/>
      <c r="B105" s="116">
        <v>7</v>
      </c>
      <c r="C105" s="117">
        <f t="dataTable" ref="C105:F109" dt2D="1" dtr="1" r1="F15" r2="B23"/>
        <v>679331.37825381034</v>
      </c>
      <c r="D105" s="118">
        <v>679331.37825381034</v>
      </c>
      <c r="E105" s="118">
        <v>679331.37825381034</v>
      </c>
      <c r="F105" s="119">
        <v>679331.37825381034</v>
      </c>
    </row>
    <row r="106" spans="1:6" hidden="1" x14ac:dyDescent="0.2">
      <c r="A106" s="100" t="s">
        <v>12</v>
      </c>
      <c r="B106" s="120">
        <v>10</v>
      </c>
      <c r="C106" s="121">
        <v>679331.37825381034</v>
      </c>
      <c r="D106" s="122">
        <v>679331.37825381034</v>
      </c>
      <c r="E106" s="122">
        <v>679331.37825381034</v>
      </c>
      <c r="F106" s="123">
        <v>679331.37825381034</v>
      </c>
    </row>
    <row r="107" spans="1:6" hidden="1" x14ac:dyDescent="0.2">
      <c r="A107" s="100" t="s">
        <v>102</v>
      </c>
      <c r="B107" s="124">
        <v>15</v>
      </c>
      <c r="C107" s="121">
        <v>679331.37825381034</v>
      </c>
      <c r="D107" s="122">
        <v>679331.37825381034</v>
      </c>
      <c r="E107" s="122">
        <v>679331.37825381034</v>
      </c>
      <c r="F107" s="123">
        <v>679331.37825381034</v>
      </c>
    </row>
    <row r="108" spans="1:6" hidden="1" x14ac:dyDescent="0.2">
      <c r="A108" s="105" t="s">
        <v>103</v>
      </c>
      <c r="B108" s="125">
        <v>20</v>
      </c>
      <c r="C108" s="121">
        <v>679331.37825381034</v>
      </c>
      <c r="D108" s="122">
        <v>679331.37825381034</v>
      </c>
      <c r="E108" s="122">
        <v>679331.37825381034</v>
      </c>
      <c r="F108" s="123">
        <v>679331.37825381034</v>
      </c>
    </row>
    <row r="109" spans="1:6" hidden="1" x14ac:dyDescent="0.2">
      <c r="A109" s="107" t="s">
        <v>104</v>
      </c>
      <c r="B109" s="126">
        <v>25</v>
      </c>
      <c r="C109" s="127">
        <v>679331.37825381034</v>
      </c>
      <c r="D109" s="128">
        <v>679331.37825381034</v>
      </c>
      <c r="E109" s="128">
        <v>679331.37825381034</v>
      </c>
      <c r="F109" s="129">
        <v>679331.37825381034</v>
      </c>
    </row>
    <row r="110" spans="1:6" hidden="1" x14ac:dyDescent="0.2"/>
  </sheetData>
  <conditionalFormatting sqref="C50:F54">
    <cfRule type="cellIs" dxfId="6" priority="7" operator="equal">
      <formula>$B$49</formula>
    </cfRule>
  </conditionalFormatting>
  <conditionalFormatting sqref="C60:F64">
    <cfRule type="cellIs" dxfId="5" priority="6" operator="equal">
      <formula>$B$49</formula>
    </cfRule>
  </conditionalFormatting>
  <conditionalFormatting sqref="C69:F73">
    <cfRule type="cellIs" dxfId="4" priority="5" operator="equal">
      <formula>$B$49</formula>
    </cfRule>
  </conditionalFormatting>
  <conditionalFormatting sqref="C95:F99">
    <cfRule type="cellIs" dxfId="3" priority="1" operator="equal">
      <formula>$B$94</formula>
    </cfRule>
    <cfRule type="cellIs" dxfId="2" priority="4" operator="equal">
      <formula>$B$49</formula>
    </cfRule>
  </conditionalFormatting>
  <conditionalFormatting sqref="C105:F109">
    <cfRule type="cellIs" dxfId="1" priority="2" operator="equal">
      <formula>$B$104</formula>
    </cfRule>
    <cfRule type="cellIs" dxfId="0" priority="3" operator="equal">
      <formula>$B$49</formula>
    </cfRule>
  </conditionalFormatting>
  <pageMargins left="0.7" right="0.7" top="0.75" bottom="0.75" header="0.3" footer="0.3"/>
  <pageSetup paperSize="9" scale="88" orientation="portrait" r:id="rId1"/>
  <rowBreaks count="2" manualBreakCount="2">
    <brk id="44" max="7" man="1"/>
    <brk id="45" max="7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שפר</vt:lpstr>
      <vt:lpstr>כדאיות התפלה בכרם</vt:lpstr>
      <vt:lpstr>גיליון2</vt:lpstr>
      <vt:lpstr>גיליון3</vt:lpstr>
      <vt:lpstr>'כדאיות התפלה בכרם'!WPrint_Area_W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noab</cp:lastModifiedBy>
  <cp:lastPrinted>2014-08-27T05:39:15Z</cp:lastPrinted>
  <dcterms:created xsi:type="dcterms:W3CDTF">2014-08-26T09:20:03Z</dcterms:created>
  <dcterms:modified xsi:type="dcterms:W3CDTF">2014-09-02T05:58:24Z</dcterms:modified>
</cp:coreProperties>
</file>